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110" yWindow="-225" windowWidth="11580" windowHeight="8085" tabRatio="796" firstSheet="1" activeTab="10"/>
  </bookViews>
  <sheets>
    <sheet name="BoQs" sheetId="11" r:id="rId1"/>
    <sheet name="SUMMARY" sheetId="20" r:id="rId2"/>
    <sheet name="I - Book 1 &amp; 2.1 Arch." sheetId="13" r:id="rId3"/>
    <sheet name="II - Book 2.2 Traff." sheetId="14" r:id="rId4"/>
    <sheet name="III - Book 3.1 Water sup." sheetId="15" r:id="rId5"/>
    <sheet name="IV - Book 3.2 Sewerage" sheetId="16" r:id="rId6"/>
    <sheet name="V - Book 3.3 Atmo. sewe." sheetId="17" r:id="rId7"/>
    <sheet name="VI - Book 4.1 Elec." sheetId="6" r:id="rId8"/>
    <sheet name="VII - Book 5.1 &amp; 5.2 Telec." sheetId="7" r:id="rId9"/>
    <sheet name="VIII - Book 6 Mech." sheetId="8" r:id="rId10"/>
    <sheet name="IX - Book 8 Traffic" sheetId="18" r:id="rId11"/>
  </sheets>
  <definedNames>
    <definedName name="_xlnm._FilterDatabase" localSheetId="3" hidden="1">'II - Book 2.2 Traff.'!$A$9:$E$13</definedName>
    <definedName name="_xlnm.Print_Area" localSheetId="2">'I - Book 1 &amp; 2.1 Arch.'!$A$1:$G$1122</definedName>
    <definedName name="_xlnm.Print_Area" localSheetId="3">'II - Book 2.2 Traff.'!$A$1:$G$65</definedName>
    <definedName name="_xlnm.Print_Area" localSheetId="4">'III - Book 3.1 Water sup.'!$A$1:$G$1359</definedName>
    <definedName name="_xlnm.Print_Area" localSheetId="5">'IV - Book 3.2 Sewerage'!$A$1:$G$112</definedName>
    <definedName name="_xlnm.Print_Area" localSheetId="10">'IX - Book 8 Traffic'!$A$1:$H$111</definedName>
    <definedName name="_xlnm.Print_Area" localSheetId="6">'V - Book 3.3 Atmo. sewe.'!$A$1:$G$133</definedName>
    <definedName name="_xlnm.Print_Area" localSheetId="7">'VI - Book 4.1 Elec.'!$A$1:$G$149</definedName>
    <definedName name="_xlnm.Print_Area" localSheetId="8">'VII - Book 5.1 &amp; 5.2 Telec.'!$A$1:$G$74</definedName>
    <definedName name="_xlnm.Print_Area" localSheetId="9">'VIII - Book 6 Mech.'!$A$1:$G$69</definedName>
    <definedName name="_xlnm.Print_Titles" localSheetId="2">'I - Book 1 &amp; 2.1 Arch.'!$6:$7</definedName>
    <definedName name="_xlnm.Print_Titles" localSheetId="4">'III - Book 3.1 Water sup.'!$6:$7</definedName>
    <definedName name="_xlnm.Print_Titles" localSheetId="5">'IV - Book 3.2 Sewerage'!$6:$7</definedName>
    <definedName name="_xlnm.Print_Titles" localSheetId="6">'V - Book 3.3 Atmo. sewe.'!$4:$5</definedName>
    <definedName name="_xlnm.Print_Titles" localSheetId="7">'VI - Book 4.1 Elec.'!$6:$7</definedName>
    <definedName name="Excel_BuiltIn_Print_Area" localSheetId="2">#REF!</definedName>
    <definedName name="Excel_BuiltIn_Print_Area" localSheetId="4">'III - Book 3.1 Water sup.'!$A$1:$G$100</definedName>
    <definedName name="Excel_BuiltIn_Print_Area" localSheetId="5">'IV - Book 3.2 Sewerage'!$A$1:$G$78</definedName>
    <definedName name="Excel_BuiltIn_Print_Area_1_1" localSheetId="4">'III - Book 3.1 Water sup.'!$A$1:$G$118</definedName>
    <definedName name="Excel_BuiltIn_Print_Area_1_1" localSheetId="5">'IV - Book 3.2 Sewerage'!$A$1:$G$96</definedName>
    <definedName name="Excel_BuiltIn_Print_Area_1_1">'I - Book 1 &amp; 2.1 Arch.'!$A$1:$G$90</definedName>
    <definedName name="Excel_BuiltIn_Print_Area_1_1_1" localSheetId="4">'III - Book 3.1 Water sup.'!$A$5:$G$118</definedName>
    <definedName name="Excel_BuiltIn_Print_Area_1_1_1" localSheetId="5">'IV - Book 3.2 Sewerage'!$A$5:$G$96</definedName>
    <definedName name="Excel_BuiltIn_Print_Area_1_1_1">'I - Book 1 &amp; 2.1 Arch.'!$A$1:$G$73</definedName>
    <definedName name="Excel_BuiltIn_Print_Area_1_1_1_1" localSheetId="4">'III - Book 3.1 Water sup.'!$A$5:$G$118</definedName>
    <definedName name="Excel_BuiltIn_Print_Area_1_1_1_1" localSheetId="5">'IV - Book 3.2 Sewerage'!$A$5:$G$95</definedName>
    <definedName name="Excel_BuiltIn_Print_Area_1_1_1_1">'I - Book 1 &amp; 2.1 Arch.'!$A$1:$G$73</definedName>
    <definedName name="Excel_BuiltIn_Print_Area_1_1_1_1_1">'I - Book 1 &amp; 2.1 Arch.'!$A$1:$G$73</definedName>
    <definedName name="Excel_BuiltIn_Print_Area_1_1_1_1_1_1">'I - Book 1 &amp; 2.1 Arch.'!$A$1:$G$73</definedName>
    <definedName name="Excel_BuiltIn_Print_Area_10">#REF!</definedName>
    <definedName name="Excel_BuiltIn_Print_Area_10_1">#REF!</definedName>
    <definedName name="Excel_BuiltIn_Print_Area_10_1_1">#REF!</definedName>
    <definedName name="Excel_BuiltIn_Print_Area_2">#REF!</definedName>
    <definedName name="Excel_BuiltIn_Print_Area_2_1">#REF!</definedName>
    <definedName name="Excel_BuiltIn_Print_Area_2_1_1" localSheetId="4">#REF!</definedName>
    <definedName name="Excel_BuiltIn_Print_Area_2_1_1" localSheetId="5">#REF!</definedName>
    <definedName name="Excel_BuiltIn_Print_Area_2_1_1">#REF!</definedName>
    <definedName name="Excel_BuiltIn_Print_Area_2_1_1_1">#REF!</definedName>
    <definedName name="Excel_BuiltIn_Print_Area_2_1_1_1_1">#REF!</definedName>
    <definedName name="Excel_BuiltIn_Print_Area_3">#REF!</definedName>
    <definedName name="Excel_BuiltIn_Print_Area_3_1">#REF!</definedName>
    <definedName name="Excel_BuiltIn_Print_Area_3_1_1">#REF!</definedName>
    <definedName name="Excel_BuiltIn_Print_Area_3_1_1_1">#REF!</definedName>
    <definedName name="Excel_BuiltIn_Print_Area_4" localSheetId="4">#REF!</definedName>
    <definedName name="Excel_BuiltIn_Print_Area_4" localSheetId="5">#REF!</definedName>
    <definedName name="Excel_BuiltIn_Print_Area_4">#REF!</definedName>
    <definedName name="Excel_BuiltIn_Print_Area_4_1">#REF!</definedName>
    <definedName name="Excel_BuiltIn_Print_Area_4_1_1">#REF!</definedName>
    <definedName name="Excel_BuiltIn_Print_Area_4_1_1_1">#REF!</definedName>
    <definedName name="Excel_BuiltIn_Print_Area_5">#REF!</definedName>
    <definedName name="Excel_BuiltIn_Print_Area_5_1">#REF!</definedName>
    <definedName name="Excel_BuiltIn_Print_Area_6">#REF!</definedName>
    <definedName name="Excel_BuiltIn_Print_Area_6_1">#REF!</definedName>
    <definedName name="Excel_BuiltIn_Print_Area_7">#REF!</definedName>
    <definedName name="Excel_BuiltIn_Print_Area_7_1">#REF!</definedName>
    <definedName name="Excel_BuiltIn_Print_Area_8">#REF!</definedName>
    <definedName name="Excel_BuiltIn_Print_Area_8_1">#REF!</definedName>
    <definedName name="Excel_BuiltIn_Print_Area_8_1_1">#REF!</definedName>
    <definedName name="Excel_BuiltIn_Print_Area_8_1_1_1">#REF!</definedName>
    <definedName name="Excel_BuiltIn_Print_Area_9">#REF!</definedName>
    <definedName name="Excel_BuiltIn_Print_Area_9_1">#REF!</definedName>
    <definedName name="LOCAL_DATE_SEPARATOR">#N/A</definedName>
    <definedName name="LOCAL_DAY_FORMAT">#N/A</definedName>
    <definedName name="LOCAL_HOUR_FORMAT">#N/A</definedName>
    <definedName name="LOCAL_MINUTE_FORMAT">#N/A</definedName>
    <definedName name="LOCAL_MONTH_FORMAT">#N/A</definedName>
    <definedName name="LOCAL_MYSQL_DATE_FORMAT">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SECOND_FORMAT">#N/A</definedName>
    <definedName name="LOCAL_TIME_SEPARATOR">#N/A</definedName>
    <definedName name="LOCAL_YEAR_FORMAT">#N/A</definedName>
    <definedName name="OLE_LINK1_1" localSheetId="5">'IV - Book 3.2 Sewerage'!#REF!</definedName>
    <definedName name="OLE_LINK1_1">'III - Book 3.1 Water sup.'!#REF!</definedName>
  </definedNames>
  <calcPr calcId="145621"/>
</workbook>
</file>

<file path=xl/calcChain.xml><?xml version="1.0" encoding="utf-8"?>
<calcChain xmlns="http://schemas.openxmlformats.org/spreadsheetml/2006/main">
  <c r="G1108" i="13" l="1"/>
  <c r="G13" i="13"/>
  <c r="G9" i="13"/>
  <c r="G75" i="13"/>
  <c r="G74" i="13" l="1"/>
  <c r="G66" i="8" l="1"/>
  <c r="G65" i="8"/>
  <c r="G64" i="8"/>
  <c r="G63" i="8"/>
  <c r="G62" i="8"/>
  <c r="G61" i="8"/>
  <c r="G60" i="8"/>
  <c r="G59" i="8"/>
  <c r="G58" i="8"/>
  <c r="G56" i="8"/>
  <c r="G55" i="8"/>
  <c r="G54" i="8"/>
  <c r="G53" i="8"/>
  <c r="G52" i="8"/>
  <c r="G51" i="8"/>
  <c r="G49" i="8"/>
  <c r="G48" i="8"/>
  <c r="G47" i="8"/>
  <c r="G46" i="8"/>
  <c r="G45" i="8"/>
  <c r="G44" i="8"/>
  <c r="G43" i="8"/>
  <c r="G42" i="8"/>
  <c r="G41" i="8"/>
  <c r="G38" i="8"/>
  <c r="G37" i="8"/>
  <c r="G36" i="8"/>
  <c r="G34" i="8"/>
  <c r="G33" i="8"/>
  <c r="G32" i="8"/>
  <c r="G31" i="8"/>
  <c r="G30" i="8"/>
  <c r="G29" i="8"/>
  <c r="G28" i="8"/>
  <c r="G26" i="8"/>
  <c r="G24" i="8"/>
  <c r="G23" i="8"/>
  <c r="G21" i="8"/>
  <c r="G19" i="8"/>
  <c r="G18" i="8"/>
  <c r="G17" i="8"/>
  <c r="G16" i="8"/>
  <c r="G14" i="8"/>
  <c r="G13" i="8"/>
  <c r="G12" i="8"/>
  <c r="G11" i="8"/>
  <c r="G9" i="8"/>
  <c r="G8" i="8"/>
  <c r="G7" i="8"/>
  <c r="G68" i="8" l="1"/>
  <c r="G71" i="13"/>
  <c r="G68" i="13"/>
  <c r="G65" i="13"/>
  <c r="G44" i="13"/>
  <c r="G41" i="13"/>
  <c r="G35" i="13"/>
  <c r="H87" i="18" l="1"/>
  <c r="F348" i="13" l="1"/>
  <c r="F98" i="18" l="1"/>
  <c r="H98" i="18" s="1"/>
  <c r="H97" i="18"/>
  <c r="H95" i="18"/>
  <c r="H90" i="18"/>
  <c r="H89" i="18"/>
  <c r="H88" i="18"/>
  <c r="H83" i="18"/>
  <c r="H81" i="18"/>
  <c r="H80" i="18"/>
  <c r="H78" i="18"/>
  <c r="H77" i="18"/>
  <c r="H76" i="18"/>
  <c r="H91" i="18" l="1"/>
  <c r="H102" i="18" s="1"/>
  <c r="H99" i="18"/>
  <c r="H103" i="18" s="1"/>
  <c r="H104" i="18" l="1"/>
  <c r="H109" i="18" s="1"/>
  <c r="E12" i="20"/>
  <c r="G63" i="7"/>
  <c r="G62" i="7"/>
  <c r="G61" i="7"/>
  <c r="G60" i="7"/>
  <c r="G59" i="7"/>
  <c r="G58" i="7"/>
  <c r="G57" i="7"/>
  <c r="G56" i="7"/>
  <c r="G54" i="7"/>
  <c r="G53" i="7"/>
  <c r="G52" i="7"/>
  <c r="G51" i="7"/>
  <c r="G50" i="7"/>
  <c r="G49" i="7"/>
  <c r="G48" i="7"/>
  <c r="G47" i="7"/>
  <c r="G46" i="7"/>
  <c r="G64" i="7" l="1"/>
  <c r="G72" i="7" s="1"/>
  <c r="H71" i="18"/>
  <c r="H70" i="18"/>
  <c r="H67" i="18"/>
  <c r="H64" i="18"/>
  <c r="H63" i="18"/>
  <c r="H62" i="18"/>
  <c r="H61" i="18"/>
  <c r="H60" i="18"/>
  <c r="H57" i="18"/>
  <c r="H54" i="18"/>
  <c r="H51" i="18"/>
  <c r="H50" i="18"/>
  <c r="H49" i="18"/>
  <c r="H44" i="18"/>
  <c r="H43" i="18"/>
  <c r="H42" i="18"/>
  <c r="H41" i="18"/>
  <c r="H37" i="18"/>
  <c r="H36" i="18"/>
  <c r="H35" i="18"/>
  <c r="H32" i="18"/>
  <c r="H29" i="18"/>
  <c r="H28" i="18"/>
  <c r="H27" i="18"/>
  <c r="H24" i="18"/>
  <c r="H23" i="18"/>
  <c r="H22" i="18"/>
  <c r="H21" i="18"/>
  <c r="H20" i="18"/>
  <c r="H19" i="18"/>
  <c r="H18" i="18"/>
  <c r="H17" i="18"/>
  <c r="H16" i="18"/>
  <c r="H13" i="18"/>
  <c r="H12" i="18"/>
  <c r="H9" i="18"/>
  <c r="G41" i="7"/>
  <c r="G40" i="7"/>
  <c r="G33" i="7"/>
  <c r="G32" i="7"/>
  <c r="G31" i="7"/>
  <c r="G30" i="7"/>
  <c r="G29" i="7"/>
  <c r="G28" i="7"/>
  <c r="G27" i="7"/>
  <c r="G26" i="7"/>
  <c r="G25" i="7"/>
  <c r="G24" i="7"/>
  <c r="G23" i="7"/>
  <c r="G16" i="7"/>
  <c r="G15" i="7"/>
  <c r="G14" i="7"/>
  <c r="G13" i="7"/>
  <c r="G12" i="7"/>
  <c r="G11" i="7"/>
  <c r="G10" i="7"/>
  <c r="G9" i="7"/>
  <c r="G138" i="6"/>
  <c r="G139" i="6" s="1"/>
  <c r="G147" i="6" s="1"/>
  <c r="G131" i="6"/>
  <c r="G130" i="6"/>
  <c r="G129" i="6"/>
  <c r="G128" i="6"/>
  <c r="G127" i="6"/>
  <c r="G126" i="6"/>
  <c r="G125" i="6"/>
  <c r="G124" i="6"/>
  <c r="G123" i="6"/>
  <c r="G122" i="6"/>
  <c r="G121" i="6"/>
  <c r="G120" i="6"/>
  <c r="G119" i="6"/>
  <c r="G117" i="6"/>
  <c r="G116" i="6"/>
  <c r="G115" i="6"/>
  <c r="G114" i="6"/>
  <c r="G113" i="6"/>
  <c r="G112" i="6"/>
  <c r="G111" i="6"/>
  <c r="G110" i="6"/>
  <c r="G108" i="6"/>
  <c r="G107" i="6"/>
  <c r="G106" i="6"/>
  <c r="G104" i="6"/>
  <c r="G103" i="6"/>
  <c r="G102" i="6"/>
  <c r="G100" i="6"/>
  <c r="G99" i="6"/>
  <c r="G98" i="6"/>
  <c r="G97" i="6"/>
  <c r="G95" i="6"/>
  <c r="G94" i="6"/>
  <c r="G87" i="6"/>
  <c r="G85" i="6"/>
  <c r="G83" i="6"/>
  <c r="G81" i="6"/>
  <c r="G79" i="6"/>
  <c r="G77" i="6"/>
  <c r="E75" i="6"/>
  <c r="G75" i="6" s="1"/>
  <c r="G73" i="6"/>
  <c r="G72" i="6"/>
  <c r="G71" i="6"/>
  <c r="G68" i="6"/>
  <c r="G67" i="6"/>
  <c r="E65" i="6"/>
  <c r="G65" i="6" s="1"/>
  <c r="G64" i="6"/>
  <c r="G63" i="6"/>
  <c r="G62" i="6"/>
  <c r="G61" i="6"/>
  <c r="G59" i="6"/>
  <c r="G57" i="6"/>
  <c r="G55" i="6"/>
  <c r="G53" i="6"/>
  <c r="G51" i="6"/>
  <c r="G50" i="6"/>
  <c r="G47" i="6"/>
  <c r="G46" i="6"/>
  <c r="G45" i="6"/>
  <c r="G39" i="6"/>
  <c r="G37" i="6"/>
  <c r="G35" i="6"/>
  <c r="G33" i="6"/>
  <c r="G31" i="6"/>
  <c r="G29" i="6"/>
  <c r="G27" i="6"/>
  <c r="G26" i="6"/>
  <c r="G25" i="6"/>
  <c r="G23" i="6"/>
  <c r="G22" i="6"/>
  <c r="G21" i="6"/>
  <c r="G20" i="6"/>
  <c r="G19" i="6"/>
  <c r="G18" i="6"/>
  <c r="G17" i="6"/>
  <c r="G15" i="6"/>
  <c r="G13" i="6"/>
  <c r="G8" i="6"/>
  <c r="G9" i="6" s="1"/>
  <c r="G143" i="6" s="1"/>
  <c r="G122" i="17"/>
  <c r="G121" i="17"/>
  <c r="G120" i="17"/>
  <c r="G119" i="17"/>
  <c r="G118" i="17"/>
  <c r="G113" i="17"/>
  <c r="G112" i="17"/>
  <c r="G111" i="17"/>
  <c r="G110" i="17"/>
  <c r="G109" i="17"/>
  <c r="G108" i="17"/>
  <c r="G107" i="17"/>
  <c r="G102" i="17"/>
  <c r="G101" i="17"/>
  <c r="G98" i="17"/>
  <c r="G96" i="17"/>
  <c r="G94" i="17"/>
  <c r="G93" i="17"/>
  <c r="G90" i="17"/>
  <c r="G89" i="17"/>
  <c r="G88" i="17"/>
  <c r="G87" i="17"/>
  <c r="G86" i="17"/>
  <c r="G85" i="17"/>
  <c r="G81" i="17"/>
  <c r="G80" i="17"/>
  <c r="G79" i="17"/>
  <c r="G78" i="17"/>
  <c r="G77" i="17"/>
  <c r="G76" i="17"/>
  <c r="G69" i="17"/>
  <c r="G68" i="17"/>
  <c r="G67" i="17"/>
  <c r="G61" i="17"/>
  <c r="G60" i="17"/>
  <c r="G59" i="17"/>
  <c r="G57" i="17"/>
  <c r="G54" i="17"/>
  <c r="G51" i="17"/>
  <c r="G50" i="17"/>
  <c r="G49" i="17"/>
  <c r="G46" i="17"/>
  <c r="G45" i="17"/>
  <c r="G44" i="17"/>
  <c r="G41" i="17"/>
  <c r="G40" i="17"/>
  <c r="G39" i="17"/>
  <c r="G36" i="17"/>
  <c r="G35" i="17"/>
  <c r="G34" i="17"/>
  <c r="G31" i="17"/>
  <c r="G30" i="17"/>
  <c r="G29" i="17"/>
  <c r="G26" i="17"/>
  <c r="G25" i="17"/>
  <c r="G24" i="17"/>
  <c r="G18" i="17"/>
  <c r="G17" i="17"/>
  <c r="G16" i="17"/>
  <c r="G13" i="17"/>
  <c r="G12" i="17"/>
  <c r="G11" i="17"/>
  <c r="G104" i="16"/>
  <c r="G100" i="16"/>
  <c r="G96" i="16"/>
  <c r="G95" i="16"/>
  <c r="G94" i="16"/>
  <c r="G93" i="16"/>
  <c r="G74" i="16"/>
  <c r="G71" i="16"/>
  <c r="G69" i="16"/>
  <c r="G68" i="16"/>
  <c r="G67" i="16"/>
  <c r="G64" i="16"/>
  <c r="G62" i="16"/>
  <c r="G60" i="16"/>
  <c r="G54" i="16"/>
  <c r="G55" i="16" s="1"/>
  <c r="G83" i="16" s="1"/>
  <c r="G49" i="16"/>
  <c r="G47" i="16"/>
  <c r="G46" i="16"/>
  <c r="G38" i="16"/>
  <c r="G39" i="16" s="1"/>
  <c r="G81" i="16" s="1"/>
  <c r="G32" i="16"/>
  <c r="G29" i="16"/>
  <c r="G26" i="16"/>
  <c r="G23" i="16"/>
  <c r="G20" i="16"/>
  <c r="G17" i="16"/>
  <c r="G11" i="16"/>
  <c r="G12" i="16" s="1"/>
  <c r="G79" i="16" s="1"/>
  <c r="G243" i="15"/>
  <c r="G241" i="15"/>
  <c r="G239" i="15"/>
  <c r="G234" i="15"/>
  <c r="G232" i="15"/>
  <c r="G230" i="15"/>
  <c r="G228" i="15"/>
  <c r="G226" i="15"/>
  <c r="G224" i="15"/>
  <c r="G222" i="15"/>
  <c r="G220" i="15"/>
  <c r="G218" i="15"/>
  <c r="G216" i="15"/>
  <c r="G212" i="15"/>
  <c r="G209" i="15"/>
  <c r="G207" i="15"/>
  <c r="G191" i="15"/>
  <c r="G189" i="15"/>
  <c r="G188" i="15"/>
  <c r="G184" i="15"/>
  <c r="G183" i="15"/>
  <c r="G177" i="15"/>
  <c r="G176" i="15"/>
  <c r="G175" i="15"/>
  <c r="G174" i="15"/>
  <c r="G173" i="15"/>
  <c r="G172" i="15"/>
  <c r="G171" i="15"/>
  <c r="G170" i="15"/>
  <c r="G169" i="15"/>
  <c r="G168" i="15"/>
  <c r="G167" i="15"/>
  <c r="G164" i="15"/>
  <c r="G163" i="15"/>
  <c r="G162" i="15"/>
  <c r="G158" i="15"/>
  <c r="G156" i="15"/>
  <c r="G154" i="15"/>
  <c r="G152" i="15"/>
  <c r="G147" i="15"/>
  <c r="G145" i="15"/>
  <c r="G143" i="15"/>
  <c r="G141" i="15"/>
  <c r="G139" i="15"/>
  <c r="G137" i="15"/>
  <c r="G135" i="15"/>
  <c r="G133" i="15"/>
  <c r="G128" i="15"/>
  <c r="G127" i="15"/>
  <c r="G124" i="15"/>
  <c r="G123" i="15"/>
  <c r="G120" i="15"/>
  <c r="G118" i="15"/>
  <c r="G116" i="15"/>
  <c r="G115" i="15"/>
  <c r="G114" i="15"/>
  <c r="G96" i="15"/>
  <c r="G93" i="15"/>
  <c r="G90" i="15"/>
  <c r="G87" i="15"/>
  <c r="G86" i="15"/>
  <c r="G83" i="15"/>
  <c r="G82" i="15"/>
  <c r="G76" i="15"/>
  <c r="G74" i="15"/>
  <c r="G72" i="15"/>
  <c r="G71" i="15"/>
  <c r="G64" i="15"/>
  <c r="G62" i="15"/>
  <c r="G60" i="15"/>
  <c r="G58" i="15"/>
  <c r="G56" i="15"/>
  <c r="G55" i="15"/>
  <c r="G54" i="15"/>
  <c r="G53" i="15"/>
  <c r="G46" i="15"/>
  <c r="G45" i="15"/>
  <c r="G39" i="15"/>
  <c r="G38" i="15"/>
  <c r="G35" i="15"/>
  <c r="G34" i="15"/>
  <c r="G31" i="15"/>
  <c r="G30" i="15"/>
  <c r="G27" i="15"/>
  <c r="G26" i="15"/>
  <c r="G23" i="15"/>
  <c r="G22" i="15"/>
  <c r="G19" i="15"/>
  <c r="G18" i="15"/>
  <c r="G12" i="15"/>
  <c r="G11" i="15"/>
  <c r="G56" i="14"/>
  <c r="G57" i="14" s="1"/>
  <c r="G63" i="14" s="1"/>
  <c r="G52" i="14"/>
  <c r="G51" i="14"/>
  <c r="G50" i="14"/>
  <c r="G48" i="14"/>
  <c r="G47" i="14"/>
  <c r="G46" i="14"/>
  <c r="G45" i="14"/>
  <c r="G44" i="14"/>
  <c r="G38" i="14"/>
  <c r="G37" i="14"/>
  <c r="G36" i="14"/>
  <c r="G35" i="14"/>
  <c r="G34" i="14"/>
  <c r="G33" i="14"/>
  <c r="G28" i="14"/>
  <c r="G27" i="14"/>
  <c r="G26" i="14"/>
  <c r="G25" i="14"/>
  <c r="G24" i="14"/>
  <c r="G23" i="14"/>
  <c r="G22" i="14"/>
  <c r="G21" i="14"/>
  <c r="G20" i="14"/>
  <c r="G19" i="14"/>
  <c r="G18" i="14"/>
  <c r="G17" i="14"/>
  <c r="G16" i="14"/>
  <c r="G15" i="14"/>
  <c r="G14" i="14"/>
  <c r="G13" i="14"/>
  <c r="G12" i="14"/>
  <c r="G11" i="14"/>
  <c r="G1095" i="13"/>
  <c r="G1096" i="13" s="1"/>
  <c r="G1102" i="13" s="1"/>
  <c r="G1088" i="13"/>
  <c r="E1086" i="13"/>
  <c r="G1086" i="13" s="1"/>
  <c r="G1084" i="13"/>
  <c r="E1082" i="13"/>
  <c r="G1082" i="13" s="1"/>
  <c r="G1080" i="13"/>
  <c r="E1075" i="13"/>
  <c r="G1075" i="13" s="1"/>
  <c r="E1073" i="13"/>
  <c r="G1073" i="13" s="1"/>
  <c r="E1071" i="13"/>
  <c r="G1071" i="13" s="1"/>
  <c r="E1069" i="13"/>
  <c r="G1069" i="13" s="1"/>
  <c r="G1067" i="13"/>
  <c r="E1063" i="13"/>
  <c r="G1063" i="13" s="1"/>
  <c r="E1061" i="13"/>
  <c r="G1061" i="13" s="1"/>
  <c r="E1059" i="13"/>
  <c r="G1059" i="13" s="1"/>
  <c r="E1057" i="13"/>
  <c r="G1057" i="13" s="1"/>
  <c r="G1055" i="13"/>
  <c r="E1051" i="13"/>
  <c r="G1051" i="13" s="1"/>
  <c r="E1049" i="13"/>
  <c r="G1049" i="13" s="1"/>
  <c r="E1047" i="13"/>
  <c r="G1047" i="13" s="1"/>
  <c r="E1045" i="13"/>
  <c r="G1045" i="13" s="1"/>
  <c r="G1043" i="13"/>
  <c r="G1041" i="13"/>
  <c r="E1039" i="13"/>
  <c r="G1039" i="13" s="1"/>
  <c r="G1018" i="13"/>
  <c r="G1016" i="13"/>
  <c r="G1011" i="13"/>
  <c r="G1008" i="13"/>
  <c r="E1002" i="13"/>
  <c r="G1002" i="13" s="1"/>
  <c r="E1000" i="13"/>
  <c r="G1000" i="13" s="1"/>
  <c r="E998" i="13"/>
  <c r="G998" i="13" s="1"/>
  <c r="E996" i="13"/>
  <c r="G996" i="13" s="1"/>
  <c r="G994" i="13"/>
  <c r="E989" i="13"/>
  <c r="G989" i="13" s="1"/>
  <c r="G990" i="13" s="1"/>
  <c r="G1024" i="13" s="1"/>
  <c r="E982" i="13"/>
  <c r="G982" i="13" s="1"/>
  <c r="G980" i="13"/>
  <c r="E978" i="13"/>
  <c r="G978" i="13" s="1"/>
  <c r="E976" i="13"/>
  <c r="G976" i="13" s="1"/>
  <c r="E974" i="13"/>
  <c r="G974" i="13" s="1"/>
  <c r="G968" i="13"/>
  <c r="E966" i="13"/>
  <c r="G966" i="13" s="1"/>
  <c r="E964" i="13"/>
  <c r="G964" i="13" s="1"/>
  <c r="E962" i="13"/>
  <c r="G962" i="13" s="1"/>
  <c r="E960" i="13"/>
  <c r="G960" i="13" s="1"/>
  <c r="G940" i="13"/>
  <c r="G938" i="13"/>
  <c r="G936" i="13"/>
  <c r="G931" i="13"/>
  <c r="G928" i="13"/>
  <c r="G925" i="13"/>
  <c r="E919" i="13"/>
  <c r="G919" i="13" s="1"/>
  <c r="G917" i="13"/>
  <c r="E915" i="13"/>
  <c r="G915" i="13" s="1"/>
  <c r="E913" i="13"/>
  <c r="G913" i="13" s="1"/>
  <c r="E911" i="13"/>
  <c r="G911" i="13" s="1"/>
  <c r="E906" i="13"/>
  <c r="G906" i="13" s="1"/>
  <c r="G907" i="13" s="1"/>
  <c r="G947" i="13" s="1"/>
  <c r="E898" i="13"/>
  <c r="G898" i="13" s="1"/>
  <c r="G896" i="13"/>
  <c r="G894" i="13"/>
  <c r="E892" i="13"/>
  <c r="G892" i="13" s="1"/>
  <c r="E890" i="13"/>
  <c r="G890" i="13" s="1"/>
  <c r="E885" i="13"/>
  <c r="G885" i="13" s="1"/>
  <c r="G883" i="13"/>
  <c r="E881" i="13"/>
  <c r="G881" i="13" s="1"/>
  <c r="G879" i="13"/>
  <c r="G877" i="13"/>
  <c r="G875" i="13"/>
  <c r="E873" i="13"/>
  <c r="G873" i="13" s="1"/>
  <c r="G852" i="13"/>
  <c r="G850" i="13"/>
  <c r="G845" i="13"/>
  <c r="G842" i="13"/>
  <c r="E836" i="13"/>
  <c r="G836" i="13" s="1"/>
  <c r="E834" i="13"/>
  <c r="G834" i="13" s="1"/>
  <c r="E832" i="13"/>
  <c r="G832" i="13" s="1"/>
  <c r="E830" i="13"/>
  <c r="G830" i="13" s="1"/>
  <c r="G828" i="13"/>
  <c r="E823" i="13"/>
  <c r="G823" i="13" s="1"/>
  <c r="G824" i="13" s="1"/>
  <c r="G859" i="13" s="1"/>
  <c r="E816" i="13"/>
  <c r="G816" i="13" s="1"/>
  <c r="G814" i="13"/>
  <c r="E812" i="13"/>
  <c r="G812" i="13" s="1"/>
  <c r="E809" i="13"/>
  <c r="G809" i="13" s="1"/>
  <c r="E807" i="13"/>
  <c r="G807" i="13" s="1"/>
  <c r="G801" i="13"/>
  <c r="E799" i="13"/>
  <c r="G799" i="13" s="1"/>
  <c r="E797" i="13"/>
  <c r="G797" i="13" s="1"/>
  <c r="E795" i="13"/>
  <c r="G795" i="13" s="1"/>
  <c r="E793" i="13"/>
  <c r="G793" i="13" s="1"/>
  <c r="G774" i="13"/>
  <c r="G772" i="13"/>
  <c r="E767" i="13"/>
  <c r="G767" i="13" s="1"/>
  <c r="G768" i="13" s="1"/>
  <c r="G782" i="13" s="1"/>
  <c r="E762" i="13"/>
  <c r="G762" i="13" s="1"/>
  <c r="G763" i="13" s="1"/>
  <c r="G781" i="13" s="1"/>
  <c r="G755" i="13"/>
  <c r="E753" i="13"/>
  <c r="G753" i="13" s="1"/>
  <c r="E751" i="13"/>
  <c r="G751" i="13" s="1"/>
  <c r="G749" i="13"/>
  <c r="E743" i="13"/>
  <c r="G743" i="13" s="1"/>
  <c r="E741" i="13"/>
  <c r="G741" i="13" s="1"/>
  <c r="E739" i="13"/>
  <c r="G739" i="13" s="1"/>
  <c r="G737" i="13"/>
  <c r="E735" i="13"/>
  <c r="G735" i="13" s="1"/>
  <c r="E733" i="13"/>
  <c r="G733" i="13" s="1"/>
  <c r="G714" i="13"/>
  <c r="G712" i="13"/>
  <c r="E708" i="13"/>
  <c r="G708" i="13" s="1"/>
  <c r="G709" i="13" s="1"/>
  <c r="G722" i="13" s="1"/>
  <c r="E703" i="13"/>
  <c r="G703" i="13" s="1"/>
  <c r="G704" i="13" s="1"/>
  <c r="G721" i="13" s="1"/>
  <c r="G696" i="13"/>
  <c r="E694" i="13"/>
  <c r="G694" i="13" s="1"/>
  <c r="E692" i="13"/>
  <c r="G692" i="13" s="1"/>
  <c r="G690" i="13"/>
  <c r="E685" i="13"/>
  <c r="G685" i="13" s="1"/>
  <c r="E683" i="13"/>
  <c r="G683" i="13" s="1"/>
  <c r="E681" i="13"/>
  <c r="G681" i="13" s="1"/>
  <c r="G679" i="13"/>
  <c r="E677" i="13"/>
  <c r="G677" i="13" s="1"/>
  <c r="E675" i="13"/>
  <c r="G675" i="13" s="1"/>
  <c r="G657" i="13"/>
  <c r="E653" i="13"/>
  <c r="G653" i="13" s="1"/>
  <c r="G654" i="13" s="1"/>
  <c r="G664" i="13" s="1"/>
  <c r="E645" i="13"/>
  <c r="G645" i="13" s="1"/>
  <c r="E643" i="13"/>
  <c r="G643" i="13" s="1"/>
  <c r="E641" i="13"/>
  <c r="G641" i="13" s="1"/>
  <c r="E636" i="13"/>
  <c r="G636" i="13" s="1"/>
  <c r="E634" i="13"/>
  <c r="G634" i="13" s="1"/>
  <c r="G632" i="13"/>
  <c r="E630" i="13"/>
  <c r="G630" i="13" s="1"/>
  <c r="E628" i="13"/>
  <c r="G628" i="13" s="1"/>
  <c r="G611" i="13"/>
  <c r="E607" i="13"/>
  <c r="G607" i="13" s="1"/>
  <c r="G608" i="13" s="1"/>
  <c r="G617" i="13" s="1"/>
  <c r="E600" i="13"/>
  <c r="G600" i="13" s="1"/>
  <c r="G598" i="13"/>
  <c r="G596" i="13"/>
  <c r="E591" i="13"/>
  <c r="G591" i="13" s="1"/>
  <c r="G588" i="13"/>
  <c r="G586" i="13"/>
  <c r="G584" i="13"/>
  <c r="G574" i="13"/>
  <c r="G575" i="13" s="1"/>
  <c r="G1112" i="13" s="1"/>
  <c r="G554" i="13"/>
  <c r="E548" i="13"/>
  <c r="G548" i="13" s="1"/>
  <c r="G549" i="13" s="1"/>
  <c r="G562" i="13" s="1"/>
  <c r="E541" i="13"/>
  <c r="G541" i="13" s="1"/>
  <c r="E539" i="13"/>
  <c r="G539" i="13" s="1"/>
  <c r="E537" i="13"/>
  <c r="G537" i="13" s="1"/>
  <c r="E532" i="13"/>
  <c r="G532" i="13" s="1"/>
  <c r="E530" i="13"/>
  <c r="G530" i="13" s="1"/>
  <c r="G528" i="13"/>
  <c r="E526" i="13"/>
  <c r="G526" i="13" s="1"/>
  <c r="E524" i="13"/>
  <c r="G524" i="13" s="1"/>
  <c r="E499" i="13"/>
  <c r="G499" i="13" s="1"/>
  <c r="G497" i="13"/>
  <c r="E492" i="13"/>
  <c r="G492" i="13" s="1"/>
  <c r="E490" i="13"/>
  <c r="G490" i="13" s="1"/>
  <c r="E488" i="13"/>
  <c r="G488" i="13" s="1"/>
  <c r="E486" i="13"/>
  <c r="G486" i="13" s="1"/>
  <c r="E484" i="13"/>
  <c r="G484" i="13" s="1"/>
  <c r="E482" i="13"/>
  <c r="G482" i="13" s="1"/>
  <c r="G480" i="13"/>
  <c r="E478" i="13"/>
  <c r="G478" i="13" s="1"/>
  <c r="G476" i="13"/>
  <c r="G474" i="13"/>
  <c r="E472" i="13"/>
  <c r="G472" i="13" s="1"/>
  <c r="G470" i="13"/>
  <c r="E468" i="13"/>
  <c r="G468" i="13" s="1"/>
  <c r="E466" i="13"/>
  <c r="G466" i="13" s="1"/>
  <c r="G461" i="13"/>
  <c r="G462" i="13" s="1"/>
  <c r="G505" i="13" s="1"/>
  <c r="E456" i="13"/>
  <c r="G456" i="13" s="1"/>
  <c r="G457" i="13" s="1"/>
  <c r="G504" i="13" s="1"/>
  <c r="G451" i="13"/>
  <c r="G449" i="13"/>
  <c r="G447" i="13"/>
  <c r="G445" i="13"/>
  <c r="E443" i="13"/>
  <c r="G443" i="13" s="1"/>
  <c r="G441" i="13"/>
  <c r="E427" i="13"/>
  <c r="G427" i="13" s="1"/>
  <c r="G428" i="13" s="1"/>
  <c r="G434" i="13" s="1"/>
  <c r="E422" i="13"/>
  <c r="G422" i="13" s="1"/>
  <c r="E420" i="13"/>
  <c r="G420" i="13" s="1"/>
  <c r="E415" i="13"/>
  <c r="G415" i="13" s="1"/>
  <c r="E413" i="13"/>
  <c r="G413" i="13" s="1"/>
  <c r="E411" i="13"/>
  <c r="G411" i="13" s="1"/>
  <c r="E409" i="13"/>
  <c r="G409" i="13" s="1"/>
  <c r="G380" i="13"/>
  <c r="G378" i="13"/>
  <c r="G375" i="13"/>
  <c r="G373" i="13"/>
  <c r="G371" i="13"/>
  <c r="G369" i="13"/>
  <c r="E364" i="13"/>
  <c r="G364" i="13" s="1"/>
  <c r="G362" i="13"/>
  <c r="E358" i="13"/>
  <c r="E360" i="13" s="1"/>
  <c r="G360" i="13" s="1"/>
  <c r="G356" i="13"/>
  <c r="G354" i="13"/>
  <c r="E352" i="13"/>
  <c r="G352" i="13" s="1"/>
  <c r="E350" i="13"/>
  <c r="G350" i="13" s="1"/>
  <c r="E348" i="13"/>
  <c r="G348" i="13" s="1"/>
  <c r="E346" i="13"/>
  <c r="G346" i="13" s="1"/>
  <c r="E344" i="13"/>
  <c r="G344" i="13" s="1"/>
  <c r="G342" i="13"/>
  <c r="G340" i="13"/>
  <c r="G338" i="13"/>
  <c r="E333" i="13"/>
  <c r="G333" i="13" s="1"/>
  <c r="G331" i="13"/>
  <c r="G326" i="13"/>
  <c r="G325" i="13"/>
  <c r="E321" i="13"/>
  <c r="G321" i="13" s="1"/>
  <c r="E318" i="13"/>
  <c r="G318" i="13" s="1"/>
  <c r="G315" i="13"/>
  <c r="G310" i="13"/>
  <c r="G307" i="13"/>
  <c r="G305" i="13"/>
  <c r="G302" i="13"/>
  <c r="G300" i="13"/>
  <c r="G296" i="13"/>
  <c r="G293" i="13"/>
  <c r="G290" i="13"/>
  <c r="E287" i="13"/>
  <c r="G287" i="13" s="1"/>
  <c r="G284" i="13"/>
  <c r="G281" i="13"/>
  <c r="G278" i="13"/>
  <c r="E272" i="13"/>
  <c r="G272" i="13" s="1"/>
  <c r="G270" i="13"/>
  <c r="G268" i="13"/>
  <c r="G266" i="13"/>
  <c r="G264" i="13"/>
  <c r="E262" i="13"/>
  <c r="G262" i="13" s="1"/>
  <c r="G260" i="13"/>
  <c r="E258" i="13"/>
  <c r="G258" i="13" s="1"/>
  <c r="G256" i="13"/>
  <c r="G251" i="13"/>
  <c r="G249" i="13"/>
  <c r="G244" i="13"/>
  <c r="E241" i="13"/>
  <c r="G241" i="13" s="1"/>
  <c r="G238" i="13"/>
  <c r="G235" i="13"/>
  <c r="G232" i="13"/>
  <c r="G229" i="13"/>
  <c r="G226" i="13"/>
  <c r="G223" i="13"/>
  <c r="G220" i="13"/>
  <c r="G213" i="13"/>
  <c r="G210" i="13"/>
  <c r="G209" i="13"/>
  <c r="G208" i="13"/>
  <c r="G204" i="13"/>
  <c r="G203" i="13"/>
  <c r="G202" i="13"/>
  <c r="G199" i="13"/>
  <c r="G196" i="13"/>
  <c r="G193" i="13"/>
  <c r="G190" i="13"/>
  <c r="G189" i="13"/>
  <c r="G186" i="13"/>
  <c r="G183" i="13"/>
  <c r="G182" i="13"/>
  <c r="G179" i="13"/>
  <c r="G176" i="13"/>
  <c r="G175" i="13"/>
  <c r="G174" i="13"/>
  <c r="E167" i="13"/>
  <c r="G167" i="13" s="1"/>
  <c r="E165" i="13"/>
  <c r="G165" i="13" s="1"/>
  <c r="E163" i="13"/>
  <c r="G163" i="13" s="1"/>
  <c r="E161" i="13"/>
  <c r="G161" i="13" s="1"/>
  <c r="G159" i="13"/>
  <c r="G157" i="13"/>
  <c r="E152" i="13"/>
  <c r="G152" i="13" s="1"/>
  <c r="E150" i="13"/>
  <c r="G150" i="13" s="1"/>
  <c r="G145" i="13"/>
  <c r="G143" i="13"/>
  <c r="E141" i="13"/>
  <c r="G141" i="13" s="1"/>
  <c r="G139" i="13"/>
  <c r="E137" i="13"/>
  <c r="G137" i="13" s="1"/>
  <c r="E135" i="13"/>
  <c r="G135" i="13" s="1"/>
  <c r="E133" i="13"/>
  <c r="G133" i="13" s="1"/>
  <c r="G131" i="13"/>
  <c r="G129" i="13"/>
  <c r="E124" i="13"/>
  <c r="G124" i="13" s="1"/>
  <c r="G125" i="13" s="1"/>
  <c r="G387" i="13" s="1"/>
  <c r="G119" i="13"/>
  <c r="E117" i="13"/>
  <c r="G117" i="13" s="1"/>
  <c r="G115" i="13"/>
  <c r="G113" i="13"/>
  <c r="E111" i="13"/>
  <c r="G111" i="13" s="1"/>
  <c r="E109" i="13"/>
  <c r="G109" i="13" s="1"/>
  <c r="E107" i="13"/>
  <c r="G107" i="13" s="1"/>
  <c r="E105" i="13"/>
  <c r="G105" i="13" s="1"/>
  <c r="E103" i="13"/>
  <c r="G103" i="13" s="1"/>
  <c r="E101" i="13"/>
  <c r="G101" i="13" s="1"/>
  <c r="G99" i="13"/>
  <c r="G93" i="13"/>
  <c r="G91" i="13"/>
  <c r="E89" i="13"/>
  <c r="G89" i="13" s="1"/>
  <c r="E87" i="13"/>
  <c r="G87" i="13" s="1"/>
  <c r="E85" i="13"/>
  <c r="G85" i="13" s="1"/>
  <c r="G62" i="13"/>
  <c r="G59" i="13"/>
  <c r="G56" i="13"/>
  <c r="G53" i="13"/>
  <c r="G50" i="13"/>
  <c r="G47" i="13"/>
  <c r="G38" i="13"/>
  <c r="G32" i="13"/>
  <c r="E29" i="13"/>
  <c r="G29" i="13" s="1"/>
  <c r="G27" i="13"/>
  <c r="G24" i="13"/>
  <c r="G22" i="13"/>
  <c r="G20" i="13"/>
  <c r="G18" i="13"/>
  <c r="G16" i="13"/>
  <c r="G123" i="17" l="1"/>
  <c r="G131" i="17" s="1"/>
  <c r="G114" i="17"/>
  <c r="G130" i="17" s="1"/>
  <c r="G103" i="17"/>
  <c r="G129" i="17" s="1"/>
  <c r="G70" i="17"/>
  <c r="G128" i="17" s="1"/>
  <c r="G62" i="17"/>
  <c r="G127" i="17" s="1"/>
  <c r="G75" i="16"/>
  <c r="G84" i="16" s="1"/>
  <c r="G50" i="16"/>
  <c r="G82" i="16" s="1"/>
  <c r="G33" i="16"/>
  <c r="G80" i="16" s="1"/>
  <c r="G47" i="15"/>
  <c r="G103" i="15" s="1"/>
  <c r="G192" i="15"/>
  <c r="G199" i="15" s="1"/>
  <c r="G65" i="15"/>
  <c r="G104" i="15" s="1"/>
  <c r="G148" i="15"/>
  <c r="G197" i="15" s="1"/>
  <c r="G178" i="15"/>
  <c r="G198" i="15" s="1"/>
  <c r="G97" i="15"/>
  <c r="G106" i="15" s="1"/>
  <c r="G13" i="15"/>
  <c r="G101" i="15" s="1"/>
  <c r="G235" i="15"/>
  <c r="G248" i="15" s="1"/>
  <c r="G105" i="16"/>
  <c r="G110" i="16" s="1"/>
  <c r="G29" i="14"/>
  <c r="G60" i="14" s="1"/>
  <c r="G53" i="14"/>
  <c r="G62" i="14" s="1"/>
  <c r="G39" i="14"/>
  <c r="G61" i="14" s="1"/>
  <c r="G42" i="7"/>
  <c r="G71" i="7" s="1"/>
  <c r="G715" i="13"/>
  <c r="G723" i="13" s="1"/>
  <c r="G775" i="13"/>
  <c r="G783" i="13" s="1"/>
  <c r="G416" i="13"/>
  <c r="G432" i="13" s="1"/>
  <c r="G358" i="13"/>
  <c r="G365" i="13" s="1"/>
  <c r="G397" i="13" s="1"/>
  <c r="G612" i="13"/>
  <c r="G618" i="13" s="1"/>
  <c r="G423" i="13"/>
  <c r="G433" i="13" s="1"/>
  <c r="G592" i="13"/>
  <c r="G615" i="13" s="1"/>
  <c r="G1019" i="13"/>
  <c r="G1027" i="13" s="1"/>
  <c r="G381" i="13"/>
  <c r="G398" i="13" s="1"/>
  <c r="G697" i="13"/>
  <c r="G720" i="13" s="1"/>
  <c r="G846" i="13"/>
  <c r="G861" i="13" s="1"/>
  <c r="G1012" i="13"/>
  <c r="G1026" i="13" s="1"/>
  <c r="G542" i="13"/>
  <c r="G561" i="13" s="1"/>
  <c r="G637" i="13"/>
  <c r="G662" i="13" s="1"/>
  <c r="G899" i="13"/>
  <c r="G946" i="13" s="1"/>
  <c r="G19" i="17"/>
  <c r="G126" i="17" s="1"/>
  <c r="G244" i="15"/>
  <c r="G249" i="15" s="1"/>
  <c r="G129" i="15"/>
  <c r="G196" i="15" s="1"/>
  <c r="G77" i="15"/>
  <c r="G105" i="15" s="1"/>
  <c r="G40" i="15"/>
  <c r="G102" i="15" s="1"/>
  <c r="G153" i="13"/>
  <c r="G389" i="13" s="1"/>
  <c r="G533" i="13"/>
  <c r="G560" i="13" s="1"/>
  <c r="G920" i="13"/>
  <c r="G948" i="13" s="1"/>
  <c r="G744" i="13"/>
  <c r="G779" i="13" s="1"/>
  <c r="G837" i="13"/>
  <c r="G860" i="13" s="1"/>
  <c r="G94" i="13"/>
  <c r="G385" i="13" s="1"/>
  <c r="G120" i="13"/>
  <c r="G386" i="13" s="1"/>
  <c r="G146" i="13"/>
  <c r="G388" i="13" s="1"/>
  <c r="G252" i="13"/>
  <c r="G393" i="13" s="1"/>
  <c r="G452" i="13"/>
  <c r="G503" i="13" s="1"/>
  <c r="G500" i="13"/>
  <c r="G507" i="13" s="1"/>
  <c r="G556" i="13"/>
  <c r="G563" i="13" s="1"/>
  <c r="G601" i="13"/>
  <c r="G616" i="13" s="1"/>
  <c r="G1003" i="13"/>
  <c r="G1025" i="13" s="1"/>
  <c r="G646" i="13"/>
  <c r="G663" i="13" s="1"/>
  <c r="G886" i="13"/>
  <c r="G945" i="13" s="1"/>
  <c r="G941" i="13"/>
  <c r="G950" i="13" s="1"/>
  <c r="G969" i="13"/>
  <c r="G1022" i="13" s="1"/>
  <c r="G273" i="13"/>
  <c r="G394" i="13" s="1"/>
  <c r="G334" i="13"/>
  <c r="G396" i="13" s="1"/>
  <c r="G756" i="13"/>
  <c r="G780" i="13" s="1"/>
  <c r="G853" i="13"/>
  <c r="G862" i="13" s="1"/>
  <c r="G932" i="13"/>
  <c r="G949" i="13" s="1"/>
  <c r="G245" i="13"/>
  <c r="G392" i="13" s="1"/>
  <c r="G686" i="13"/>
  <c r="G719" i="13" s="1"/>
  <c r="G817" i="13"/>
  <c r="G858" i="13" s="1"/>
  <c r="G1076" i="13"/>
  <c r="G1100" i="13" s="1"/>
  <c r="G1089" i="13"/>
  <c r="G1101" i="13" s="1"/>
  <c r="G983" i="13"/>
  <c r="G1023" i="13" s="1"/>
  <c r="G802" i="13"/>
  <c r="G857" i="13" s="1"/>
  <c r="G658" i="13"/>
  <c r="G665" i="13" s="1"/>
  <c r="G493" i="13"/>
  <c r="G506" i="13" s="1"/>
  <c r="G327" i="13"/>
  <c r="G395" i="13" s="1"/>
  <c r="G214" i="13"/>
  <c r="G391" i="13" s="1"/>
  <c r="G168" i="13"/>
  <c r="G390" i="13" s="1"/>
  <c r="H45" i="18"/>
  <c r="H107" i="18" s="1"/>
  <c r="G40" i="6"/>
  <c r="G144" i="6" s="1"/>
  <c r="G132" i="6"/>
  <c r="G146" i="6" s="1"/>
  <c r="G88" i="6"/>
  <c r="G145" i="6" s="1"/>
  <c r="H72" i="18"/>
  <c r="H108" i="18" s="1"/>
  <c r="G17" i="7"/>
  <c r="G69" i="7" s="1"/>
  <c r="G34" i="7"/>
  <c r="G70" i="7" s="1"/>
  <c r="G132" i="17" l="1"/>
  <c r="E9" i="20" s="1"/>
  <c r="G85" i="16"/>
  <c r="G109" i="16" s="1"/>
  <c r="G111" i="16" s="1"/>
  <c r="E8" i="20" s="1"/>
  <c r="G250" i="15"/>
  <c r="G256" i="15" s="1"/>
  <c r="G200" i="15"/>
  <c r="G255" i="15" s="1"/>
  <c r="G64" i="14"/>
  <c r="E6" i="20" s="1"/>
  <c r="G1103" i="13"/>
  <c r="G1120" i="13" s="1"/>
  <c r="G784" i="13"/>
  <c r="G1116" i="13" s="1"/>
  <c r="G508" i="13"/>
  <c r="G513" i="13" s="1"/>
  <c r="G619" i="13"/>
  <c r="G1113" i="13" s="1"/>
  <c r="G951" i="13"/>
  <c r="G1118" i="13" s="1"/>
  <c r="G435" i="13"/>
  <c r="G512" i="13" s="1"/>
  <c r="G666" i="13"/>
  <c r="G1114" i="13" s="1"/>
  <c r="G564" i="13"/>
  <c r="G566" i="13" s="1"/>
  <c r="G1111" i="13" s="1"/>
  <c r="G73" i="7"/>
  <c r="E11" i="20" s="1"/>
  <c r="G148" i="6"/>
  <c r="E10" i="20" s="1"/>
  <c r="G107" i="15"/>
  <c r="G254" i="15" s="1"/>
  <c r="G1028" i="13"/>
  <c r="G1119" i="13" s="1"/>
  <c r="G724" i="13"/>
  <c r="G1115" i="13" s="1"/>
  <c r="G863" i="13"/>
  <c r="G1117" i="13" s="1"/>
  <c r="G399" i="13"/>
  <c r="G1109" i="13" s="1"/>
  <c r="H110" i="18"/>
  <c r="E13" i="20" s="1"/>
  <c r="G257" i="15" l="1"/>
  <c r="E7" i="20" s="1"/>
  <c r="G514" i="13"/>
  <c r="G1110" i="13" s="1"/>
  <c r="G1121" i="13" s="1"/>
  <c r="E5" i="20" s="1"/>
  <c r="E14" i="20" l="1"/>
  <c r="E16" i="20" s="1"/>
  <c r="E19" i="20" s="1"/>
  <c r="E17" i="20" l="1"/>
  <c r="E18" i="20" l="1"/>
  <c r="E20" i="20" l="1"/>
</calcChain>
</file>

<file path=xl/sharedStrings.xml><?xml version="1.0" encoding="utf-8"?>
<sst xmlns="http://schemas.openxmlformats.org/spreadsheetml/2006/main" count="3510" uniqueCount="1330">
  <si>
    <t>00. PRELIMINARY WORKS</t>
  </si>
  <si>
    <t>Unit</t>
  </si>
  <si>
    <t>SITE ARRANGEMENT WORKS</t>
  </si>
  <si>
    <t>Geodetic works.</t>
  </si>
  <si>
    <t>Geodetic works on marking the construction plot, alignment, level and building lines.</t>
  </si>
  <si>
    <t>Overall dimensions cca 15.500,00  m².</t>
  </si>
  <si>
    <t>Dismantling of existing objects.</t>
  </si>
  <si>
    <t xml:space="preserve">Dismantling of the existing canopy made of steel profiles and sheets ,lights with respective installation, signalization, suspended ceiling, attic flash, gutter horizontals and verticals. </t>
  </si>
  <si>
    <t>Disassembly of the existing object for accommodation of MIA and CA employees. Object is a prefabricated barrack.</t>
  </si>
  <si>
    <t xml:space="preserve">Disassembly of the existing object - Tourist organization (Mokra Gora nature park). The object is a wooden house. </t>
  </si>
  <si>
    <t>Disassembly of the existing object -  combined cabin. Object is a prefabricated house.</t>
  </si>
  <si>
    <t>pcs</t>
  </si>
  <si>
    <t>Disassembly - demolition of the existing RC support wall with transport of debris to a landfill up to 10 km  away.</t>
  </si>
  <si>
    <t>Preparation of the terrain.</t>
  </si>
  <si>
    <t>3.1.</t>
  </si>
  <si>
    <t>Cleaning of the terrain. Cutting of the existing low-growing vegetation and shrubs with cleaning of terrain prior to work commencement</t>
  </si>
  <si>
    <r>
      <t>m</t>
    </r>
    <r>
      <rPr>
        <vertAlign val="superscript"/>
        <sz val="10"/>
        <color indexed="8"/>
        <rFont val="Times New Roman"/>
        <family val="1"/>
        <charset val="238"/>
      </rPr>
      <t>2</t>
    </r>
    <r>
      <rPr>
        <sz val="10"/>
        <color indexed="8"/>
        <rFont val="Times New Roman"/>
        <family val="1"/>
        <charset val="238"/>
      </rPr>
      <t xml:space="preserve"> </t>
    </r>
  </si>
  <si>
    <t>3.2.</t>
  </si>
  <si>
    <t xml:space="preserve">Mechanical removal of humus layer in bulk excavation thickness cca. 0.30 m  </t>
  </si>
  <si>
    <r>
      <t>m</t>
    </r>
    <r>
      <rPr>
        <vertAlign val="superscript"/>
        <sz val="12"/>
        <color indexed="8"/>
        <rFont val="Times New Roman"/>
        <family val="1"/>
        <charset val="238"/>
      </rPr>
      <t>3</t>
    </r>
  </si>
  <si>
    <t>Construction site sign.</t>
  </si>
  <si>
    <t>Purchase of material, making and installation of construction site sign, with information on object that is constructed</t>
  </si>
  <si>
    <t>7.</t>
  </si>
  <si>
    <t>8.</t>
  </si>
  <si>
    <t>Rental of container for meetings.</t>
  </si>
  <si>
    <t xml:space="preserve">Purchase, transport and mounting or rental container for meetings, container dimensions cca 6,00/2,40, on a previously prepared base. </t>
  </si>
  <si>
    <t>Rental of sanitary cabins.</t>
  </si>
  <si>
    <t>Purchase, transport and mounting of rental toilets for period of work execution or cancellation by the Investor.</t>
  </si>
  <si>
    <t>10.</t>
  </si>
  <si>
    <t>Plateau between containers.</t>
  </si>
  <si>
    <t>Purchase of materials, delivery, construction of plateau between the containers and pavement around the container d=8 cm</t>
  </si>
  <si>
    <t xml:space="preserve"> m²</t>
  </si>
  <si>
    <t>11.</t>
  </si>
  <si>
    <t>Access roads.</t>
  </si>
  <si>
    <t>Purchase of materials, delivery and construction of access road on the entrance into the construction site 5.00 m wide, with backfilling and compacting crushed stone and all ground works.</t>
  </si>
  <si>
    <t>13.</t>
  </si>
  <si>
    <t>14.</t>
  </si>
  <si>
    <t xml:space="preserve">Power connection. </t>
  </si>
  <si>
    <t xml:space="preserve">Purchase of materials, delivery and making of power connection by a PP00 5x25 mm2 with all required ground works. </t>
  </si>
  <si>
    <t xml:space="preserve">Power distribution cabinet. </t>
  </si>
  <si>
    <t xml:space="preserve">Purchase of materials, delivery and installation of power distribution cabinet. </t>
  </si>
  <si>
    <t>Construction site lighting.</t>
  </si>
  <si>
    <t>Purchase of materials, delivery and installation of site lighting on wooden columns - reflectors (column at each 20 m).</t>
  </si>
  <si>
    <t>Laying the electro route.</t>
  </si>
  <si>
    <t>Purchase of material, delivery and installation of electric cable route PP00 4x16 mm2 for lighting.</t>
  </si>
  <si>
    <t>1. MIA AND CA</t>
  </si>
  <si>
    <t>I	GROUND WORKS</t>
  </si>
  <si>
    <t>1</t>
  </si>
  <si>
    <t>Marking of the object and installation of corner profiles.</t>
  </si>
  <si>
    <t>2</t>
  </si>
  <si>
    <t>Combined excavation in a previously backfilled terrain for the foundation structure, below the foundation slab of the object</t>
  </si>
  <si>
    <r>
      <t>m</t>
    </r>
    <r>
      <rPr>
        <vertAlign val="superscript"/>
        <sz val="11"/>
        <color indexed="8"/>
        <rFont val="Times New Roman"/>
        <family val="1"/>
        <charset val="238"/>
      </rPr>
      <t>3</t>
    </r>
  </si>
  <si>
    <t>3</t>
  </si>
  <si>
    <t xml:space="preserve">Purchase, transport, backfilling and compacting of sand under the foundation slab of the object on the previously prepared base, in layers, total layer thickness of sand 30 cm. </t>
  </si>
  <si>
    <t>3а</t>
  </si>
  <si>
    <t>Purchase, transport, backfilling and compacting of sand around the concreted foundations of the object in layers, total width of sand layer cca 30 cm</t>
  </si>
  <si>
    <t>4</t>
  </si>
  <si>
    <t xml:space="preserve">Purchase, transport, backfilling and compacting of a crushed stone aggregate layer under the floor slab of the object and under the foundation beams, </t>
  </si>
  <si>
    <t>TOTAL GROUND WORK:</t>
  </si>
  <si>
    <t>II	   CONCRETE AND REINFORCED CONCRETE WORKS</t>
  </si>
  <si>
    <t>1.</t>
  </si>
  <si>
    <t>Purchase of material, transport and construction of screed CC 15, thickness d=5 cm</t>
  </si>
  <si>
    <r>
      <t>m</t>
    </r>
    <r>
      <rPr>
        <vertAlign val="superscript"/>
        <sz val="12"/>
        <color indexed="8"/>
        <rFont val="Times New Roman"/>
        <family val="1"/>
        <charset val="238"/>
      </rPr>
      <t>2</t>
    </r>
    <r>
      <rPr>
        <sz val="12"/>
        <color indexed="8"/>
        <rFont val="Times New Roman"/>
        <family val="1"/>
        <charset val="238"/>
      </rPr>
      <t xml:space="preserve"> </t>
    </r>
  </si>
  <si>
    <t>2.</t>
  </si>
  <si>
    <t>Purchase of material, transport and construction of RC foundation beams of reverse T section, footing width 80 cm and thickness 35 cm, and rib of cross section 30/65 cm, out of concrete CC30 in required formwork</t>
  </si>
  <si>
    <t>3.</t>
  </si>
  <si>
    <t>Purchase of material, transport and making of RC floor slab of the object, thickness d=20 cm, out of concrete CC30, in required formwork,.</t>
  </si>
  <si>
    <t xml:space="preserve">Purchase of material, transport and construction of full reinforced concrete mezzanine ceiling out of concrete CC 30, thickness d=20 cm. </t>
  </si>
  <si>
    <t>4a</t>
  </si>
  <si>
    <t xml:space="preserve">Purchase of material, transport and construction of full reinforced concrete roof slab out of concrete CC 30, thickness d=20 cm. </t>
  </si>
  <si>
    <t>5.</t>
  </si>
  <si>
    <t>Purchase of materials, transport and construction of RC elements of the structure, pillars with square section 30/30 cm, out of reinforced concrete CC30, all in line with design and static calculation.</t>
  </si>
  <si>
    <r>
      <t>m</t>
    </r>
    <r>
      <rPr>
        <vertAlign val="superscript"/>
        <sz val="10"/>
        <color indexed="8"/>
        <rFont val="Times New Roman"/>
        <family val="1"/>
        <charset val="238"/>
      </rPr>
      <t>3</t>
    </r>
  </si>
  <si>
    <t>6.</t>
  </si>
  <si>
    <t xml:space="preserve">Purchase of material, transport and concreting RC walls, designed thickness d=20 cm, out of reinforced concrete CC 30 in double formwork. </t>
  </si>
  <si>
    <t xml:space="preserve">Purchase of material, transport and making of crank RC pad of stairway branch and landings with stairs - POS ST-1, pad made of reinforced concrete CC30, thickness d=15 cm, </t>
  </si>
  <si>
    <t>Purchase of material, transport and construction of rim parapet beams, dimensions 20/23 cm, out of reinforced concrete CC30 in required formwork</t>
  </si>
  <si>
    <t>9.</t>
  </si>
  <si>
    <t>Purchase of material, transport and making of RC slab above the jamb in the wall for placing the fan convector in room no. 6,  Slab thickness d=15 cm, out of reinforced concrete CC30</t>
  </si>
  <si>
    <t xml:space="preserve">Purchase of material, transport and making of RC framework with a slab for making wooden bed in the room for retaining passengers. Wall thickness of the frame and the slab is d=10 cm, out of reinforced concrete CC 30, reinforced by mesh armature </t>
  </si>
  <si>
    <t>TOTAL CONCRETE AND RC WORKS:</t>
  </si>
  <si>
    <t>III	    REINFORCEMENT WORKS</t>
  </si>
  <si>
    <t>Purchase, transport, straightening, cutting, bending, binding and installation of reinforcement of all profiles and complexity with all auxiliary materials.</t>
  </si>
  <si>
    <t>kg</t>
  </si>
  <si>
    <t>TOTAL REINFORCEMENT WORKS:</t>
  </si>
  <si>
    <t>IV 	   MASONRY WORKS</t>
  </si>
  <si>
    <t xml:space="preserve">Purchase of material, delivery and construction of external wall of the object in brick, wall in room no. 6 on the ground floor of the object (retention room for passengers), wall thickness d= 12 cm. </t>
  </si>
  <si>
    <t>m²</t>
  </si>
  <si>
    <t>Purchase of material, delivery and construction of internal-partition walls by bricks, wall thickness d = 12 cm. Build in lime cement mortar</t>
  </si>
  <si>
    <t xml:space="preserve">Purchase of materials, delivery and construction of internal installation wall for installing flush cistern, by brick, wall thickness d = 7 cm. </t>
  </si>
  <si>
    <t>Purchase of material, delivery and construction of internal wall by brick, wall thickness d=7 cm.</t>
  </si>
  <si>
    <t>Purchase of material, transport and plastering of brick walls in rooms on the ground floor of the objec.</t>
  </si>
  <si>
    <t>5/1.</t>
  </si>
  <si>
    <t>Purchase of material, transport and plastering of concrete walls and pillars in rooms in the object.</t>
  </si>
  <si>
    <t>Purchase of material, transport and plastering of concrete surfaces (ceiling) of the stairway in lime cement mortar.  Plastering in two layers, with coarse and fine pargeting. Clean the ceiling surface, dampen it and spray with grout.</t>
  </si>
  <si>
    <t>Purchase of materials, transport and construction of reinforced cement screed, thickness d=4.5 cm on floors, on which PVC floor covers are placed.</t>
  </si>
  <si>
    <t>7/1.</t>
  </si>
  <si>
    <t xml:space="preserve">Purchase of materials and construction of reinforced cement screed, thickness d=4 cm on floors </t>
  </si>
  <si>
    <t>TOTAL MASONRY WORKS:</t>
  </si>
  <si>
    <t>V STEEL STRUCTURE</t>
  </si>
  <si>
    <t xml:space="preserve">Purchase of material, workshop construction, delivery, all transports and installation of the substructure for object facade, facade is partially a sinus steel sheet with thermal insulation 15 cm and C block, and partially a thermal insulation panel (calculated in facade works). The facade rests on vertical RC structure (RC pillars and walls) and steel substructure, all in line with design detail.   </t>
  </si>
  <si>
    <t>Purchase of material, construction, transport and installation of steel substructure, facade flashing in axis A by steel box profiles [] 70x70x4.</t>
  </si>
  <si>
    <t>TOTAL STEEL STRUCTURE:</t>
  </si>
  <si>
    <t>VI 	   INSULATION WORKS</t>
  </si>
  <si>
    <t>Purchase of materials, transport and hydro-insulation of reinforced concrete structure of the object - floor slab and foundation beams by hydro-insulating coats, polymer-cement materials ISOMAT, Greece or equivalent.</t>
  </si>
  <si>
    <t>Purchase and installation od horizontal hydro-insulation of floors in sanitary room.</t>
  </si>
  <si>
    <t xml:space="preserve">Purchase of materials, delivery and installation of thermal insulation on the object floor, out of styrodur layer XPS, thickness d=15 cm. </t>
  </si>
  <si>
    <t xml:space="preserve">Purchase of materials, delivery and installation of thermal insulation on the mezzanine structure, out of styrodur layer XPS, thickness d=2 cm. </t>
  </si>
  <si>
    <t xml:space="preserve">Purchase of material, delivery and hydro insulation of mezzanine structure console (thermal insulation for the part with heating which is located above the part without heating).  Thermal insulation of stone wool d = 15 cm. </t>
  </si>
  <si>
    <t xml:space="preserve">Purchase of material, delivery and hydro insulation of the roof structure of the object (RC slab) out of stone wool, thickness d= 30 cm, which is the finishing layer of the roof as well. </t>
  </si>
  <si>
    <t>TOTAL INSULATION WORKS:</t>
  </si>
  <si>
    <t>VII	     ALUMINUM CARPENTRY</t>
  </si>
  <si>
    <t>EXTERNAL AND INTERNAL ALUMINUM CARPENTRY</t>
  </si>
  <si>
    <t xml:space="preserve">Purchase, delivery and installation of single leaf entrance door with fanlight and fixed part, made of improved anodized aluminum profiles with a heat bridge, paint and finishing selected by the Investor. </t>
  </si>
  <si>
    <t>1.1.</t>
  </si>
  <si>
    <t>Pos. 9.</t>
  </si>
  <si>
    <t>1.2.</t>
  </si>
  <si>
    <t>Pos. 10</t>
  </si>
  <si>
    <t>1.3.</t>
  </si>
  <si>
    <t>Pos. 12</t>
  </si>
  <si>
    <t>Purchase, delivery and installation of single leaf internal door (wind shield) with fanlight and fixed part</t>
  </si>
  <si>
    <t>Pos. 11</t>
  </si>
  <si>
    <t>Purchase, delivery and installation of double-leaf window</t>
  </si>
  <si>
    <t xml:space="preserve">Pos. 1 </t>
  </si>
  <si>
    <t>Pos. 3</t>
  </si>
  <si>
    <t>Purchase, delivery and installation of single-leaf window</t>
  </si>
  <si>
    <t>Pos. 2</t>
  </si>
  <si>
    <t>Purchase, delivery and installation of triple-leaf window (1+2 fixed)</t>
  </si>
  <si>
    <t>5.1.</t>
  </si>
  <si>
    <t>Pos. 4</t>
  </si>
  <si>
    <t>5.2.</t>
  </si>
  <si>
    <t>Pos. 5</t>
  </si>
  <si>
    <t>Purchase, delivery and installation of eight-leaf window (2+6 fixed)</t>
  </si>
  <si>
    <t>Pos.  6</t>
  </si>
  <si>
    <r>
      <t>Purchase, delivery and installation of facade portal with two fixed leaves</t>
    </r>
    <r>
      <rPr>
        <sz val="12"/>
        <color indexed="10"/>
        <rFont val="Times New Roman"/>
        <family val="1"/>
      </rPr>
      <t>.</t>
    </r>
  </si>
  <si>
    <t>Pos.  7</t>
  </si>
  <si>
    <t>Purchase, delivery and installation of facade portal (twelve-leaf, 2 sliding and 10 fixed leaves)</t>
  </si>
  <si>
    <t>Pos.  8</t>
  </si>
  <si>
    <t>Purchase, delivery and installation of single leaf door</t>
  </si>
  <si>
    <t>9.1.</t>
  </si>
  <si>
    <t>Pos. 1 - carpentry</t>
  </si>
  <si>
    <t>9.2.</t>
  </si>
  <si>
    <t>Pos. 2 - carpentry</t>
  </si>
  <si>
    <t>9.3.</t>
  </si>
  <si>
    <t>Pos. 3 - carpentry</t>
  </si>
  <si>
    <t>Purchase, making, delivery and installation of sanitary cabins made in el. aluminum profile framework, with compact panel filling d=8 mm.</t>
  </si>
  <si>
    <t>dimensions:</t>
  </si>
  <si>
    <t>10.1.</t>
  </si>
  <si>
    <t>Pos. P 1</t>
  </si>
  <si>
    <t>10.2.</t>
  </si>
  <si>
    <t>Pos. P 2a</t>
  </si>
  <si>
    <t>10.3.</t>
  </si>
  <si>
    <t>Pos. P 2b</t>
  </si>
  <si>
    <t>Purchase, making, delivery and installation of partitions near urinals made of compact panels d=8 mm, with proper console supports, dim. 50/130сm.</t>
  </si>
  <si>
    <t>Pos. P 3</t>
  </si>
  <si>
    <t>TOTAL ALUMINUM DOORS AND WINDOWS:</t>
  </si>
  <si>
    <t>VIII   METALWORKS</t>
  </si>
  <si>
    <t>INTERNAL AND EXTERNAL CARPENTRY</t>
  </si>
  <si>
    <t>Purchase of material, making, transport and installation of single-leaf metal door with an aperture for supervising the retained person.</t>
  </si>
  <si>
    <t>Pos. 13</t>
  </si>
  <si>
    <t>pc</t>
  </si>
  <si>
    <t>1а.</t>
  </si>
  <si>
    <t xml:space="preserve">Purchase of material, making, transport and installation of single-leaf metal door on the weapons storage, room 5.  </t>
  </si>
  <si>
    <t>Pos. 14</t>
  </si>
  <si>
    <t>Purchase and installation of single-leaf fire door, made of steel box profiles, covered with special steel sheet on both side, with expansion tape on all joints.</t>
  </si>
  <si>
    <t>Pos. FP</t>
  </si>
  <si>
    <t xml:space="preserve">Purchase of material, making, transport and installation of protective metal mask on the internal (external) side of the window. </t>
  </si>
  <si>
    <t>Pos. М1, Р1 (100cm)</t>
  </si>
  <si>
    <t xml:space="preserve">Purchase of material, making, transport and installation of protective metal mask for the fan-coil (fan convector). </t>
  </si>
  <si>
    <t>Pos. М2</t>
  </si>
  <si>
    <t>Purchase of material, making, transport and installation of protective metal mask for the heater.</t>
  </si>
  <si>
    <t>Pos. М3</t>
  </si>
  <si>
    <t xml:space="preserve">Purchase of material, making, transport and installation of metal mask for lights, placed above the lintel, where the electric light for room is placed and which is turned on  the outside of the room. </t>
  </si>
  <si>
    <t>-production measure 105/40 cm, all in line with metalworks diagram</t>
  </si>
  <si>
    <t>Purchase of material, transport and making of stairway fence made of steel box profiles 40/40/3 mm, horizontal and vertical separation of steel flat bar 40/4 mm, 110 cm high.</t>
  </si>
  <si>
    <t>Pos. О1</t>
  </si>
  <si>
    <t>m</t>
  </si>
  <si>
    <t>Purchase of material, making, transport and installation of galvanized metal fixed ladders with a cage for accessing the roof</t>
  </si>
  <si>
    <t xml:space="preserve">Pos. P	</t>
  </si>
  <si>
    <t>METALWORKS TOTAL:</t>
  </si>
  <si>
    <t>IX	 FLOORING WORKS</t>
  </si>
  <si>
    <t xml:space="preserve">Purchase of materials, delivery and installation of PVC floor covers over the prepared cement screed, dry, clean and flat. </t>
  </si>
  <si>
    <t>Purchase, delivery and installation of PVC plinth, height h=10 cm, in rooms with PVC flooring, installation all in line with manufacturer's instructions.</t>
  </si>
  <si>
    <t>TOTAL FLOORING WORKS:</t>
  </si>
  <si>
    <t>X	 TILING WORKS</t>
  </si>
  <si>
    <t>Purchase of materials, delivery and installation of granite floor tiles, I class, dimensions 60x30cm (50x50cm) at the entrance part, hall, sanitary node, anteroom, locker rooms, kitchen and dining room, and archive.</t>
  </si>
  <si>
    <t xml:space="preserve">Purchase of materials, delivery and covering the walls with ceramic tiles, I class, in line with floor tiling, in the kitchen with dining room, up to height of 1.50 m and in appropriate adhesive. </t>
  </si>
  <si>
    <t xml:space="preserve">Purchase of materials, delivery and covering the walls with ceramic tiles, I class, in line with floor tiling, in the entire height of the wall and appropriate adhesive. </t>
  </si>
  <si>
    <r>
      <t>Purchase of material, delivery and covering the walls around the sanitary block for retention rooms</t>
    </r>
    <r>
      <rPr>
        <sz val="12"/>
        <color indexed="10"/>
        <rFont val="Times New Roman"/>
        <family val="1"/>
      </rPr>
      <t>.</t>
    </r>
  </si>
  <si>
    <t>Purchase of material, delivery and making of plinth on the perimeter of the rooms where granite floor tiles will be laid in appropriate adhesive</t>
  </si>
  <si>
    <t>Purchase of materials, delivery and installation of standard AL strips on external edges of walls covered in ceramic tiles</t>
  </si>
  <si>
    <t xml:space="preserve">Purchase of material, delivery and installation of granite floor tiles, class I, dimensions 60x30 cm (50x50 cm) on the stairs. </t>
  </si>
  <si>
    <t>Purchase of material, delivery and making of stairway plinth out of granite tiles in appropriate adhesive</t>
  </si>
  <si>
    <t>Purchase of materials, delivery and installation of extension AL strips for covering the pass between two different types of floor (PVC floor and floor ceramics)</t>
  </si>
  <si>
    <t>TOTAL TILING WORK:</t>
  </si>
  <si>
    <t>XI       DRY INSTALLATION - PLASTERWORK</t>
  </si>
  <si>
    <t>Brackets for mounting sanitary and other devices and equipment:</t>
  </si>
  <si>
    <t>Brackets for sink.</t>
  </si>
  <si>
    <t>Stiffening of the door aperture</t>
  </si>
  <si>
    <t>Brackets for low-mounted heater.</t>
  </si>
  <si>
    <t>Volume 10 l.</t>
  </si>
  <si>
    <t>Purchase of materials, delivery and construction of reinforcement out of galvanized profiles inside the wall structure, under the niche for placing the electro cabinet.</t>
  </si>
  <si>
    <t>Purchase, delivery and installation of ALU TOP revision aperture- standard construction with covered closing system, anodized, with installed lining made of DIAMANT panels d=12.5 mm or "appropriate".</t>
  </si>
  <si>
    <t>dimensions:300х300 mm</t>
  </si>
  <si>
    <t>CEILINGS</t>
  </si>
  <si>
    <t>Flat monolithic ceiling "Knauf KGBI 2х12,5mm" or "appropriate".</t>
  </si>
  <si>
    <t xml:space="preserve">Purchase of materials, transport and construction of suspended ceilings out of monolithic gypsum panels, thickness d=2х12.5 mm </t>
  </si>
  <si>
    <t xml:space="preserve">Flat monolithic waterproof ceiling "Knauf D 112 - H13  2H12.5mm" in bathrooms or "appropriate". </t>
  </si>
  <si>
    <t>Purchase of materials, delivery and construction of suspended monolithic gypsum ceilings waterproof</t>
  </si>
  <si>
    <t>Suspended fire ceiling - fire resistance F60.</t>
  </si>
  <si>
    <t>Purchase of material, delivery and installation of fire resistant gypsum boards 15+18 mm.</t>
  </si>
  <si>
    <t>Purchase, delivery and installation of ALU ECO revision aperture- standard construction with covered closing system, anodized, with installed lining made of Knauf H2 or "appropriate", gypsum panel d=12.5 mm.</t>
  </si>
  <si>
    <t>300х300mm</t>
  </si>
  <si>
    <t>600х600mm</t>
  </si>
  <si>
    <t>TOTAL DRY INSTALLATION - PLASTERWORK:</t>
  </si>
  <si>
    <t>XII      PAINTING WORKS</t>
  </si>
  <si>
    <t xml:space="preserve">Purchase of materials, delivery and final painting of internal wall and ceiling surfaces, by dispersion paint and smoothing with skim mass twice. </t>
  </si>
  <si>
    <t>Purchase of material, delivery and final painting of internal wall surfaces with light oil paint (green, blue, beige), height 2.0 m from the floor</t>
  </si>
  <si>
    <t>XIII   FACADE WORKS</t>
  </si>
  <si>
    <t>Purchase of material, delivery, all horizontal and vertical transport on the site and installation i.e. construction of the object facade out of thermal insulation panels with mineral wool filling 15 cm thick, in color RAL 9002.</t>
  </si>
  <si>
    <t>Purchase of materials, delivery, all horizontal and vertical transports on the construction site and installation i.e. making of sandwich facade of the objects out of following layers: C block 0.088 cm, stone wool d=15 cm, vapor permeable film, air layer d=4 cm and sinus steel sheet 18/76mm, thickness 0.63mm as final cover (type „ArcelorMittal Frequence V18/76) or equivalent, color RAL 7031 and RAL 9002.</t>
  </si>
  <si>
    <t>Purchase of materials, delivery, all horizontal and vertical transports on the construction site and installation i.e. making of sandwich facade of the objects out of following layers: C block 0.088 cm, stone wool d=15 cm, vapor permeable film, air layer d=4 cm and sinus steel sheet 18/76mm, thickness 0.63mm as final cover (type „ArcelorMittal Frequence V18/76) or equivalent, color RAL 1005.</t>
  </si>
  <si>
    <t>3а.</t>
  </si>
  <si>
    <t xml:space="preserve">Purchase of material and making of external vertical flashing for corners of the object, out of galvanized plasticized sheet d=0.63 mm.  </t>
  </si>
  <si>
    <t>3b.</t>
  </si>
  <si>
    <t xml:space="preserve">Purchase of material and making of flashing for parapet on the facade, out of galvanized plasticized sheet d=0.63 mm. </t>
  </si>
  <si>
    <t>3v.</t>
  </si>
  <si>
    <t>Purchase of material and making of flashing at the joint of the panel and sinus sheet</t>
  </si>
  <si>
    <t>3g.</t>
  </si>
  <si>
    <t>Purchase of material and making of suspended ceiling out of flat galvanized plasticized steel sheet, at level +3.07 in axis A. Sheet color RAL 5009.</t>
  </si>
  <si>
    <t>Installation of Z profile of the starting facade element on the joint between horizontal facade and parapet beam.</t>
  </si>
  <si>
    <t xml:space="preserve">Flashing of facade surfaces around the windows and doors out of galvanized plasticized steel sheet d=0.63 mm, developed width cca 35 cm. </t>
  </si>
  <si>
    <t xml:space="preserve">Flashing and covering of facade surfaces in axis A with sinus steel sheet 18/76 mm, on the upper side. </t>
  </si>
  <si>
    <t xml:space="preserve">Purchase and covering of plinth by panels made of extruded polystyrene XPS; ribbed surface structure d=5 cm. </t>
  </si>
  <si>
    <t>Processing of facade wall surfaces with plastic mortar with scratching, type Kulir or appropriate, selected by the designer</t>
  </si>
  <si>
    <t xml:space="preserve">Purchase, delivery and installation of stone wool, in hard panel form, thickness d=7.5 cm and PE foil. </t>
  </si>
  <si>
    <t xml:space="preserve">Mounting and dismantling of facade pipe scaffold, height up to 6.60 m for facade installation works, cleaning and stacking after dismantling. </t>
  </si>
  <si>
    <t>TOTAL FACADE WORKS:</t>
  </si>
  <si>
    <t>Installation of benchmarks on the object for monitoring possible subsidence of the object</t>
  </si>
  <si>
    <t>Final cleaning of the object upon completion of all works and handover to the client for use.</t>
  </si>
  <si>
    <t xml:space="preserve">Purchase, delivery and installation in floor tiling, of mats in front of the entrance into the MIA and CA. </t>
  </si>
  <si>
    <t>Purchase, delivery and installation of internal window sills</t>
  </si>
  <si>
    <t xml:space="preserve">Purchase of material, delivery and installation of external aluminum window sill. </t>
  </si>
  <si>
    <t>counters position 8.</t>
  </si>
  <si>
    <t>Purchase of material, making, transport and installation of beech planks</t>
  </si>
  <si>
    <t>TOTAL VARIOUS WORKS:</t>
  </si>
  <si>
    <t>RECAPITULATION 1 - MIA and CA</t>
  </si>
  <si>
    <t>I</t>
  </si>
  <si>
    <t>GROUND WORKS</t>
  </si>
  <si>
    <t>II</t>
  </si>
  <si>
    <t>CONCRETE AND REINFORCED CONCRETE WORKS</t>
  </si>
  <si>
    <t>III</t>
  </si>
  <si>
    <t>REINFORCEMENT WORKS</t>
  </si>
  <si>
    <t>IV</t>
  </si>
  <si>
    <t>MASONRY WORKS</t>
  </si>
  <si>
    <t>V</t>
  </si>
  <si>
    <t>STEEL WORKS</t>
  </si>
  <si>
    <t>VI</t>
  </si>
  <si>
    <t>INSULATION WORKS</t>
  </si>
  <si>
    <t>VII</t>
  </si>
  <si>
    <t>ALUMINUM CARPENTRY</t>
  </si>
  <si>
    <t>VIII</t>
  </si>
  <si>
    <t>METALWORKS</t>
  </si>
  <si>
    <t>IX</t>
  </si>
  <si>
    <t>FLOORING WORKS</t>
  </si>
  <si>
    <t>X</t>
  </si>
  <si>
    <t>TILING WORKS</t>
  </si>
  <si>
    <t>XI</t>
  </si>
  <si>
    <t>DRY INSTALLATION - PLASTERWORK</t>
  </si>
  <si>
    <t>XII</t>
  </si>
  <si>
    <t>PAINTING WORKS</t>
  </si>
  <si>
    <t>XIII</t>
  </si>
  <si>
    <t>FACADE WORKS</t>
  </si>
  <si>
    <t>VARIOUS WORKS</t>
  </si>
  <si>
    <t>2.  CANOPY</t>
  </si>
  <si>
    <t>A) RC STRUCTURE</t>
  </si>
  <si>
    <t>I  GROUND WORKS</t>
  </si>
  <si>
    <t xml:space="preserve">Marking of the object and installation of corner profiles. </t>
  </si>
  <si>
    <t>Combined excavation in a previously backfilled terrain for a foundation pit for spot footings of the canopy</t>
  </si>
  <si>
    <t>Purchase, transport, backfilling and compacting of crushed stone, under spot footings</t>
  </si>
  <si>
    <t>Purchase, transport, backfill and compacting of sand around concreted foundations</t>
  </si>
  <si>
    <t xml:space="preserve">Purchase of materials, transport and construction of screed base out of CC15, thickness t=5 cm </t>
  </si>
  <si>
    <r>
      <t>m</t>
    </r>
    <r>
      <rPr>
        <vertAlign val="superscript"/>
        <sz val="11"/>
        <color indexed="8"/>
        <rFont val="Calibri"/>
        <family val="2"/>
        <charset val="238"/>
      </rPr>
      <t>2</t>
    </r>
    <r>
      <rPr>
        <sz val="11"/>
        <color indexed="8"/>
        <rFont val="Calibri"/>
        <family val="2"/>
        <charset val="238"/>
      </rPr>
      <t xml:space="preserve"> </t>
    </r>
  </si>
  <si>
    <t xml:space="preserve">Purchase of material, transport and concreting of RC spot footings </t>
  </si>
  <si>
    <t xml:space="preserve">Purchase, transport, straightening, cutting, bending, binding and installation of reinforcement of all profiles and complexity with all auxiliary materials. </t>
  </si>
  <si>
    <t>RECAPITULATION OF WORKS - RC STRUCTURE</t>
  </si>
  <si>
    <t>CONCRETE WORKS</t>
  </si>
  <si>
    <t>TOTAL A:</t>
  </si>
  <si>
    <t>B) CANOPY</t>
  </si>
  <si>
    <t>I      STEEL STRUCTURE</t>
  </si>
  <si>
    <t>Purchase of material, workshop construction, delivery, all transports and installation of steel structure of the canopy.</t>
  </si>
  <si>
    <t>Purchase of material, making, transport and installation of steel substructure for the suspended ceiling.</t>
  </si>
  <si>
    <t>Purchase of materials, making, delivery and installation of steel anchor slabs dim. 400/950 mm</t>
  </si>
  <si>
    <t>Purchase of materials, making, delivery and installation of steel standard plates dim. 400/950/10 mm, which are concreted in RC spot footings.</t>
  </si>
  <si>
    <t>Purchase of materials, making, delivery and installation of steel anchor slabs dim. 300/300 mm</t>
  </si>
  <si>
    <t>4a.</t>
  </si>
  <si>
    <t>Purchase of materials, making, delivery and installation of steel standard plates dim. 300/300/5 mm, which are concreted in RC poles.</t>
  </si>
  <si>
    <t>II ROOFING WORKS</t>
  </si>
  <si>
    <t>Purchase of material, delivery, and  construction of the roof of the canopy object, out of sinus steel sheet 18/76 mm</t>
  </si>
  <si>
    <r>
      <t>m</t>
    </r>
    <r>
      <rPr>
        <vertAlign val="superscript"/>
        <sz val="11"/>
        <color indexed="8"/>
        <rFont val="Calibri"/>
        <family val="2"/>
        <charset val="238"/>
      </rPr>
      <t>2</t>
    </r>
  </si>
  <si>
    <t>TOTAL ROOFING WORKS:</t>
  </si>
  <si>
    <t xml:space="preserve">III	  METALWORKS </t>
  </si>
  <si>
    <t>Purchase, delivery and installation of a skydome dim. 100/120 cm (dimensions of the opening on the roof).</t>
  </si>
  <si>
    <t>TOTAL METALWORKS WORKS:</t>
  </si>
  <si>
    <t>Purchase of materials, construction and installation of horizontal lying gutters made of galvanized, plasticized sheet t=0.6 mm</t>
  </si>
  <si>
    <t xml:space="preserve">Purchase of materials, construction and installation of drainage gutter verticals-pipes made of plasticized sheet t=0.6 mm, circular section Ø 100 mm. </t>
  </si>
  <si>
    <t>Purchase of materials and making of attic flashing with sinus steel sheet</t>
  </si>
  <si>
    <t>Purchase of material, making, transport and installation of flashing for roof plane connection of the canopy object</t>
  </si>
  <si>
    <t xml:space="preserve">Purchase of material, delivery and flashing of eave with sinus steel sheet 18/76 mm, RAL 7031. </t>
  </si>
  <si>
    <t>Purchase of material, delivery and construction of suspended ceiling out of sinus plasticized sheet RAL 1005.</t>
  </si>
  <si>
    <t xml:space="preserve">Purchase of material and construction of flashing around the exit door to the roof, with sinus steel sheet 18/76 mm, DW 60 cm.  </t>
  </si>
  <si>
    <t xml:space="preserve">Purchase of material and construction of flashing around the exit door to the roof, on the bottom side, of material like for the suspended ceiling of the canopy. </t>
  </si>
  <si>
    <t>9a</t>
  </si>
  <si>
    <t xml:space="preserve">Purchase of material and construction of ridge flashing from galvanized plastic steel sheet t = 0.63 mm. The total developed width is 250 mm in color of the roof sheet. </t>
  </si>
  <si>
    <t>9b</t>
  </si>
  <si>
    <t xml:space="preserve">Purchase of materials and construction of an attic flashing and the roof plate with galvanized plastic steel sheet t = 0.63 mm. The total developed width is 250 mm in color of the roof sheet. </t>
  </si>
  <si>
    <t>9v</t>
  </si>
  <si>
    <t xml:space="preserve">Purchase of materials and construction of an attic flashing and horizontal plane with galvanized plastic steel sheet t = 0.63 mm. The total developed width is 200 mm in the color of the roof sheet and the sheet of suspended ceiling. </t>
  </si>
  <si>
    <t>9g</t>
  </si>
  <si>
    <t>9d</t>
  </si>
  <si>
    <t>Purchase of materials and construction of external, vertical flashings of the object's cornar's with  galvanized, plastic, steel sheet t = 0.63 mm. The total developed width is 220 mm.</t>
  </si>
  <si>
    <t>Purchase of materials, delivery and installation of line snow fence type 330 made of galvanized painted steel sheet.</t>
  </si>
  <si>
    <t>TOTAL SHEET METAL WORKS:</t>
  </si>
  <si>
    <t>V VARIOUS WORKS</t>
  </si>
  <si>
    <t>Purchase of material, transport and forming of a through for the horizontal gutter over the steel roof structure.</t>
  </si>
  <si>
    <t>RECAPITULATION OF WORKS - CANOPY</t>
  </si>
  <si>
    <t>STEEL STRUCTURE</t>
  </si>
  <si>
    <t>ROOFING WORKS</t>
  </si>
  <si>
    <t>STEEL SHEET WORKS</t>
  </si>
  <si>
    <t>TOTAL B:</t>
  </si>
  <si>
    <t>RECAPITULATION 2 - CANOPY</t>
  </si>
  <si>
    <t>Marking of the object and installation of corner profiles. Calculation per m2</t>
  </si>
  <si>
    <r>
      <t>m</t>
    </r>
    <r>
      <rPr>
        <vertAlign val="superscript"/>
        <sz val="11"/>
        <rFont val="Times New Roman"/>
        <family val="1"/>
        <charset val="238"/>
      </rPr>
      <t>3</t>
    </r>
  </si>
  <si>
    <r>
      <t>m</t>
    </r>
    <r>
      <rPr>
        <vertAlign val="superscript"/>
        <sz val="11"/>
        <color indexed="8"/>
        <rFont val="Calibri"/>
        <family val="2"/>
        <charset val="238"/>
      </rPr>
      <t>3</t>
    </r>
  </si>
  <si>
    <r>
      <t>m</t>
    </r>
    <r>
      <rPr>
        <vertAlign val="superscript"/>
        <sz val="12"/>
        <rFont val="Times New Roman"/>
        <family val="1"/>
        <charset val="1"/>
      </rPr>
      <t>3</t>
    </r>
  </si>
  <si>
    <t>TOTAL CONCRETE AND REINFORCED CONCRETE WORKS:</t>
  </si>
  <si>
    <t>МА 500/560</t>
  </si>
  <si>
    <t>B500B</t>
  </si>
  <si>
    <t>CONCRETE AND RC WORKS</t>
  </si>
  <si>
    <t>4а.  COMBINED CABIN no. 1. (MOI and CA)</t>
  </si>
  <si>
    <t>Combined excavation in a previously backfilled terrain for the foundation construction</t>
  </si>
  <si>
    <t>Purchase, transport, backfilling and compacting of crushed stone aggregate layer under the floor slab of the object and foundation beams</t>
  </si>
  <si>
    <t xml:space="preserve">Purchase, transport, backfilling and compacting of sand on a previously prepared base - level of terrain backfill in layers, under the floor slab of the object (replacement of the soil). </t>
  </si>
  <si>
    <t>4а</t>
  </si>
  <si>
    <t xml:space="preserve">Purchase, transport, backfilling and compacting of sand around the concrete founations, up to the angle of the ground. </t>
  </si>
  <si>
    <t xml:space="preserve">Purchase of material, transport and making of RC floor slab of the object, thickness t=15 cm, </t>
  </si>
  <si>
    <t>Purchase of material, transport and construction of RC foundation beams, dimensions 25/105 cm</t>
  </si>
  <si>
    <t xml:space="preserve">Purchase of material, construction, delivery and installation of a container - combined cabin no. 1 on a prepared RC pad. </t>
  </si>
  <si>
    <t>SUMMARY 4а.  - COMBINED CABIN no. 1. (MI and CA)</t>
  </si>
  <si>
    <t>TOTAL 4а.:</t>
  </si>
  <si>
    <t>5</t>
  </si>
  <si>
    <t>4.1.</t>
  </si>
  <si>
    <t>9. PREFABRICATED DISINFECTION BARRIER</t>
  </si>
  <si>
    <t xml:space="preserve">Purchase, construction, delivery and installation of prefabricated disinfection barrier on state road category I A no. 4. Disinfection barrier is made of steel sheet d=10 mm, specially protected against corrosion by base and final coatings (twice) dimensions 6.00 x 3.00 m, with elevated edges in line with design details. </t>
  </si>
  <si>
    <t>dim. 6.00 х 3.00 m</t>
  </si>
  <si>
    <t>TOTAL DISINFECTION BARRIER:</t>
  </si>
  <si>
    <t>13.  COMBINED CABIN no. 2. at the exit (MI and CA)</t>
  </si>
  <si>
    <t xml:space="preserve">Purchase, transport, backfilling and compacting of sand on a previously prepared base - level of terrain backfill in layers of 30 cm, under the floor slab of the object (replacement of the soil). </t>
  </si>
  <si>
    <t>Total thickness of compacted layer is t=0.65 m.</t>
  </si>
  <si>
    <t xml:space="preserve">Purchase of materials, transport and construction of screed base out of CC15, thickness t=5 cm under the foundation pad and foundation beams of the plateau for placing the combined cabin. Level out the upper surface and cure the concrete. </t>
  </si>
  <si>
    <t>Purchase of material, transport and making of RC floor slab of the object, thickness t=15 cm, out of concrete CC30, in required formwork</t>
  </si>
  <si>
    <t>Purchase of material, transport and construction of RC foundation beams, dimensions 25/105 cm, out of reinforced concrete CC 30 in required formwork.</t>
  </si>
  <si>
    <t xml:space="preserve">Purchase of material, construction, delivery and installation of a container - combined cabin on a prepared RC pad. Container has min. exterior dimensions of 3.50x1.35 m,min. ceiling height is 2.6 m, all in line with the design.
</t>
  </si>
  <si>
    <t xml:space="preserve">pcs </t>
  </si>
  <si>
    <t>SUMMARY 13.  COMBINED CABIN no. 2. at the entrance (MI and CA)</t>
  </si>
  <si>
    <t>SUMMARY 13. CABIN no. 2.:</t>
  </si>
  <si>
    <t>14.  COMBINED CABIN no. 3. at the entrance (MI and CA)</t>
  </si>
  <si>
    <t xml:space="preserve">Combined excavation in a previously backfilled terrain for the foundation construction </t>
  </si>
  <si>
    <t>4.</t>
  </si>
  <si>
    <t xml:space="preserve">Purchase, transport, backfilling and compacting of sand on a previously prepared base in layers, below the floor slab of the building. </t>
  </si>
  <si>
    <t xml:space="preserve">Purchase, transport, backfilling and compacting of sand around the concrete foundations, up to the angle of the ground. </t>
  </si>
  <si>
    <t xml:space="preserve">Purchase of materials, transport and construction of screed base out of CC15, thickness t=5 cm under the foundation pad and foundation beams of the plateau for placing the combined cabin. </t>
  </si>
  <si>
    <t>TOTAL CONCRETE AND REINFORCEMENT CONCRETE WORKS:</t>
  </si>
  <si>
    <t>(calculation 130 kg/m3 of concrete)</t>
  </si>
  <si>
    <t>Purchase of material, construction, delivery and installation of a container - combined cabin on a prepared RC pad. Container has min. external dimensions of 3.00x2.40 m, and min. ceiling height 2.6 m, all in line with the design.</t>
  </si>
  <si>
    <t>SUMMARY 14.  COMBINED CABIN no. 3. at the entrance (MI and CA)</t>
  </si>
  <si>
    <t>SUMMARY 14. CABIN no. 3.:</t>
  </si>
  <si>
    <t>15. CABIN no. 4. at the entrance from the truck terminal  (MI)</t>
  </si>
  <si>
    <t>Marking of the object and installation of corner profiles. Calculation per m2.</t>
  </si>
  <si>
    <t>Combined excavation in a previously backfilled terrain for a tampon layer below the foundation beams - foundation walls of the platform for placing the combined cabin</t>
  </si>
  <si>
    <t>Purchase, transport, backfilling and compacting of crushed stone aggregate layer under the floor slab of the platform and under the foundation walls</t>
  </si>
  <si>
    <t>3/1.</t>
  </si>
  <si>
    <t>Purchase, transport, backfilling and compacting of crushed stone aggregate layer under the stairway.</t>
  </si>
  <si>
    <t xml:space="preserve">Purchase, transport, backfilling and compacting of sand around the concreted object in layers of 30 cm, total width of sand layer cca 65 cm (30 cm lower than the level of the newly designed terrain around the object). .   </t>
  </si>
  <si>
    <t xml:space="preserve">Purchase of materials, transport and construction of screed base out of CC15, thickness d=5 cm under the RC foundation pad and foundation beams of the plateau for placing the combined cabin. </t>
  </si>
  <si>
    <t>Purchase of material, transport and making of RC foundation beams of the platform object dim. 25/175 m, concrete CC30 in required formwork</t>
  </si>
  <si>
    <t>Purchase of material, transport and making of RC floor slab of the platform for combined cabin, thickness d=20 cm, out of concrete CC30</t>
  </si>
  <si>
    <t>Purchase of material, transport and making of stairway for accessing the platform, stairway footing, crank pad, steps made of reinforced concrete CC30</t>
  </si>
  <si>
    <t>IV METALWORKS</t>
  </si>
  <si>
    <t xml:space="preserve">Purchase of materials, transport and construction of a fence out of steel profiles, 110 cm high. Horizontal and vertical separation by steel flat bar 40/4 mm, vertical supports and handrail out of steel box profiles 40/40/3 mm. Installation in line with detail. </t>
  </si>
  <si>
    <t>VI VARIOUS WORKS</t>
  </si>
  <si>
    <t>Purchase of material, construction, delivery and installation of a container - combined cabin on a prepared RC pad. Container has min. dimensions of 3.00x2.40 m, height 2.591m</t>
  </si>
  <si>
    <t>Purchase, delivery and installation of mats in front of the entrance into the object.  mat dimensions 120/80 cm.</t>
  </si>
  <si>
    <t>SUMMARY 15. 
- CABIN no. 4. at the entrance of truck terminal (MI)</t>
  </si>
  <si>
    <t>SUMMARY 15. CABIN no. 4.:</t>
  </si>
  <si>
    <t>16. CABIN no. 5. at the exit from the truck terminal  (CA)</t>
  </si>
  <si>
    <t>Combined excavation in a previously backfilled terrain for the foundation construction – platform for placing the combined cabin</t>
  </si>
  <si>
    <t>Purchase, transport, backfilling and compacting of crushed stone aggregate layer under the stairway, fraction 0-31.5 mm with compacting in layers from 20-30 cm up to achieving required density.</t>
  </si>
  <si>
    <t xml:space="preserve">Purchase, transport, backfilling and compacting of sand around the concreted object in layers of 30 cm, total width of sand layer cca 65 cm (30 cm lower than the level of the newly designed terrain around the object). </t>
  </si>
  <si>
    <t xml:space="preserve">Purchase of material, construction, delivery and installation of a container - combined cabin on a prepared RC pad. Container has min. dimensions of 3.00x2.40 m, min.height 2.6 m, all in line with the design. </t>
  </si>
  <si>
    <t>SUMMARY 16. 
- CABIN no. 5. at the exit from the truck terminal (MI and CA)</t>
  </si>
  <si>
    <t>SUMMARY 16. CABIN no. 5:</t>
  </si>
  <si>
    <r>
      <t>m</t>
    </r>
    <r>
      <rPr>
        <vertAlign val="superscript"/>
        <sz val="10"/>
        <color indexed="8"/>
        <rFont val="Times New Roman"/>
        <family val="1"/>
      </rPr>
      <t>2</t>
    </r>
    <r>
      <rPr>
        <sz val="10"/>
        <color indexed="8"/>
        <rFont val="Times New Roman"/>
        <family val="1"/>
      </rPr>
      <t xml:space="preserve"> </t>
    </r>
  </si>
  <si>
    <r>
      <t>m</t>
    </r>
    <r>
      <rPr>
        <vertAlign val="superscript"/>
        <sz val="12"/>
        <color indexed="8"/>
        <rFont val="Times New Roman"/>
        <family val="1"/>
      </rPr>
      <t>2</t>
    </r>
    <r>
      <rPr>
        <sz val="12"/>
        <color indexed="8"/>
        <rFont val="Times New Roman"/>
        <family val="1"/>
      </rPr>
      <t xml:space="preserve"> </t>
    </r>
  </si>
  <si>
    <r>
      <t>m</t>
    </r>
    <r>
      <rPr>
        <vertAlign val="superscript"/>
        <sz val="12"/>
        <color indexed="8"/>
        <rFont val="Times New Roman"/>
        <family val="1"/>
      </rPr>
      <t>3</t>
    </r>
  </si>
  <si>
    <r>
      <t>m</t>
    </r>
    <r>
      <rPr>
        <vertAlign val="superscript"/>
        <sz val="11"/>
        <color indexed="8"/>
        <rFont val="Times New Roman"/>
        <family val="1"/>
      </rPr>
      <t>3</t>
    </r>
  </si>
  <si>
    <t>24a.  WATER METER SHAFT</t>
  </si>
  <si>
    <r>
      <t>Marking of the object and installation of corner profiles. Calculation per m</t>
    </r>
    <r>
      <rPr>
        <vertAlign val="superscript"/>
        <sz val="12"/>
        <color indexed="8"/>
        <rFont val="Times New Roman"/>
        <family val="1"/>
      </rPr>
      <t>2</t>
    </r>
    <r>
      <rPr>
        <sz val="12"/>
        <color indexed="8"/>
        <rFont val="Times New Roman"/>
        <family val="1"/>
      </rPr>
      <t>.</t>
    </r>
  </si>
  <si>
    <t>Combined excavation of II category soil for foundation pit of the object</t>
  </si>
  <si>
    <t xml:space="preserve">Purchase, transport, backfilling and compacting of a layer of broken stone aggregate, fraction 0-31,5 mm, under the foundation structure, total thickness of the layer d=35 cm.  </t>
  </si>
  <si>
    <t xml:space="preserve">Purchase, transport, backfilling and compacting of sand around the concreted object in layers of 30 cm, total width of sand layer cca 180 cm (30 cm lower than the level of the newly designed terrain around the object). </t>
  </si>
  <si>
    <t xml:space="preserve">Loading of excavated soil into a vehicle, transport, unloading on a landfill or a place designated by the Investor, up to 10 km away.   </t>
  </si>
  <si>
    <t>Purchase of materials, transport and construction of screed base out of CC15, thickness d=2*5 cm under the floor pad of the object - water meter shaft</t>
  </si>
  <si>
    <t>Purchase of materials, transport and production of the foundation pad of the water meter object, thickness d = 20cm, out of the waterproof reinforced concrete CC30, maximum water penetration into concrete of 30mm</t>
  </si>
  <si>
    <t xml:space="preserve">Purchase of material, transport and construction of walls for the water meter shaft object, out of waterproof reinforced concrete CC30, thickness d=20 cm, maximum water penetration into the concrete 30 mm, in double sided formwork. </t>
  </si>
  <si>
    <t>- water meter shaft walls:</t>
  </si>
  <si>
    <t>Purchase of materials, transport and production of the upper pad of the water meter object, thickness d = 20cm, out of the waterproof reinforced concrete CC30, maximum water penetration into concrete of 30mm</t>
  </si>
  <si>
    <t xml:space="preserve">Purchase of material, transport and making of screed CC15, average thickness d=6 cm, above the top RC pad of the tank, the layer is made with a slope and serves as protection of hydro insulation. </t>
  </si>
  <si>
    <r>
      <t>m</t>
    </r>
    <r>
      <rPr>
        <vertAlign val="superscript"/>
        <sz val="12"/>
        <color indexed="8"/>
        <rFont val="Calibri"/>
        <family val="2"/>
      </rPr>
      <t>2</t>
    </r>
    <r>
      <rPr>
        <sz val="12"/>
        <color indexed="8"/>
        <rFont val="Calibri"/>
        <family val="2"/>
      </rPr>
      <t xml:space="preserve"> </t>
    </r>
  </si>
  <si>
    <t>IV INSULATION WORKS</t>
  </si>
  <si>
    <t>Purchase of materials, transport and construction of hydro-insulation for the reinforced concrete slab of the water meter shaft (floor slab)</t>
  </si>
  <si>
    <t>Purchase of material, transport and making of hydro insulation for reinforced concrete slab at level +0.00 of water meter shaft of the object.</t>
  </si>
  <si>
    <t>Purchase of materials, transport and construction of external hydro insulation of water meter shaft reinforced concrete walls</t>
  </si>
  <si>
    <t>Purchase of materials, transport and installation of protection for hydro insulation of tank walls and chamber lock</t>
  </si>
  <si>
    <t>Purchase, transport and installation i.e. processing of concreting joints at points of extensions or breaks in concreting at contact slab-wall, wall-wall and at designed breaks. Waterstops (Sika Waterbars types AP or V or appropriate) are place on break points and joints.</t>
  </si>
  <si>
    <t>V METALWORKS</t>
  </si>
  <si>
    <t>Purchase, making, transport and installation of metal cover for going down into the water meter shaft object (standard cast iron cover</t>
  </si>
  <si>
    <t>- cover dimensions 80/80 cm</t>
  </si>
  <si>
    <t>Purchase, construction, transport and installation of standard cast iron ladders, installed in the water meter shaft object</t>
  </si>
  <si>
    <t>- ladders [ 350x230x16 mm</t>
  </si>
  <si>
    <t>Test filling of the object with clean water for checking the water tightness of the structure, in line with applicable regulations.</t>
  </si>
  <si>
    <t xml:space="preserve">Purchase and installation of benchmarks on the object for monitoring possible subsidence. </t>
  </si>
  <si>
    <t>SUMMARY
24a. WATER METER SHAFT</t>
  </si>
  <si>
    <t>TOTAL 24а.:</t>
  </si>
  <si>
    <t>24b.  CHAMBER FOR PUMP</t>
  </si>
  <si>
    <t>24v.  WATER TANK</t>
  </si>
  <si>
    <r>
      <t>Marking of the object and installation of corner profiles. Calculation per m</t>
    </r>
    <r>
      <rPr>
        <vertAlign val="superscript"/>
        <sz val="10"/>
        <color indexed="8"/>
        <rFont val="Times New Roman"/>
        <family val="1"/>
      </rPr>
      <t>2</t>
    </r>
    <r>
      <rPr>
        <sz val="10"/>
        <color indexed="8"/>
        <rFont val="Times New Roman"/>
        <family val="1"/>
      </rPr>
      <t>.</t>
    </r>
  </si>
  <si>
    <t>Mechanical excavation of II category soil for the foundation pit of the water tank and chamber for pumps</t>
  </si>
  <si>
    <t>2/1.</t>
  </si>
  <si>
    <t xml:space="preserve">Manual excavation of soil in the shaft, within the floor slab of the water tank, include excavation, ejection of soil from the pit and removal to a temporary landfill. </t>
  </si>
  <si>
    <t>Purchase, transport, backfilling and compacting of sand around the concreted object in layers of 30 cm, total width of sand layer cca 190 cm (30 cm lower than the level of the newly designed terrain around the object).</t>
  </si>
  <si>
    <t xml:space="preserve">Construction of a backfill out of excavated soil, around the tank with spreading, planning and compacting up to natural soil degree of density. </t>
  </si>
  <si>
    <r>
      <t>Loading of excavated soil into a vehicle, transport, unloading on a landfill or a place designated by the Investor, up to 10 km away.  Calculation per m</t>
    </r>
    <r>
      <rPr>
        <vertAlign val="superscript"/>
        <sz val="12"/>
        <color indexed="8"/>
        <rFont val="Times New Roman"/>
        <family val="1"/>
      </rPr>
      <t>3.</t>
    </r>
  </si>
  <si>
    <t>Purchase of materials, transport and construction of screed base out of CC15, thickness d=2*5 cm under the floor pad of the object - tank and chamber for shafts.</t>
  </si>
  <si>
    <t>Purchase of materials, transport and production of the foundation pad of the water tank and chamber for pumps, thickness d = 35cm (chamber pad thickness d=30 cm), out of the waterproof reinforced concrete CC30, maximum water penetration into concrete of 30mm</t>
  </si>
  <si>
    <t>Purchase of material, transport and construction of walls of the water tank and chamber for pumps, out of waterproof concrete CC30, thickness d=30 cm (chamber lock wall thickness d=25 cm), max. water penetration in concrete 30 mm, in double formwork.</t>
  </si>
  <si>
    <t>Purchase of materials, transport and production of the upper pad of the water tank and chamber for pumps, thickness d = 25cm, out of the waterproof reinforced concrete CC30 (thickness of the top slab of chamber lock d=20cm), maximum water penetration into concrete of 30mm</t>
  </si>
  <si>
    <t>Purchase of material, transport and making of screed CC15, average thickness d=6 cm, above the top RC pad of the tank, the layer is made with a slope and serves as protection of hydro insulation. Level out the upper surface and cure the concrete.</t>
  </si>
  <si>
    <t>Purchase of materials, transport and construction of hydro-insulation for the reinforced concrete slab of the water tank (floor slab and top slab) and chamber for pumps (floor slab and top slab)</t>
  </si>
  <si>
    <t>1/1.</t>
  </si>
  <si>
    <t>Purchase of materials, transport and construction of external hydro insulation of reinforced concrete walls of the water tank and chamber for pumps</t>
  </si>
  <si>
    <t>Purchase of materials, transport and installation of protection for hydro insulation of tank walls and chamber for pumps, out of dimpled sheet layer</t>
  </si>
  <si>
    <t xml:space="preserve">Purchase of material, transport and coating the internal side of the walls, bottom and top slab of the water tank, with two layers of hydro-insulation coating that holds a certificate for potable water. </t>
  </si>
  <si>
    <t xml:space="preserve">Purchase, transport and installation i.e. processing of concreting joints at points of extensions or breaks in concreting at contact slab-wall, wall-wall and at designed breaks. </t>
  </si>
  <si>
    <t xml:space="preserve">Purchase, making, transport and installation of metal cover for going down into the water tank and chamber for pumps (standard cast iron cover), installation by anchoring into a concrete pad. </t>
  </si>
  <si>
    <t>Purchase, construction, transport and installation of ladders, made of prochrome steel tubes, mounted on internal side of the water tank, for going down into the tank for maintenance of the equipment and similar</t>
  </si>
  <si>
    <t>- ladders, height 4.20 m / cage height 2.20 m</t>
  </si>
  <si>
    <t>Purchase, construction, transport and installation of standard cast iron ladders, installed in the chamber lock</t>
  </si>
  <si>
    <t xml:space="preserve">Final washing and cleaning of water tank with disinfection. </t>
  </si>
  <si>
    <t>SUMMARY
24b.  CHAMBER FOR PUMP
24v.  WATER TANK</t>
  </si>
  <si>
    <t>TOTAL 24b and 24v:</t>
  </si>
  <si>
    <t>24g.  WELL CHAMBER</t>
  </si>
  <si>
    <t xml:space="preserve">Purchase of materials, transport and construction of screed base out of CC15, thickness d=2*5 cm under the floor pad of the object - well chamber. </t>
  </si>
  <si>
    <t>Purchase of materials, transport and production of the foundation pad of the well chamber object, thickness d = 20cm, out of the waterproof reinforced concrete CC30, maximum water penetration into concrete of 30mm</t>
  </si>
  <si>
    <t>Purchase of material, transport and construction of walls for the well chamber object, out of waterproof reinforced concrete CC30, thickness d=20 cm, maximum water penetration into the concrete 30 mm, in double sided formwork.</t>
  </si>
  <si>
    <t>Purchase of materials, transport and production of the upper pad of the well chamber, thickness d = 20cm, out of the waterproof reinforced concrete CC30, maximum water penetration into concrete of 30mm</t>
  </si>
  <si>
    <t>Purchase of materials, transport and construction of hydro-insulation for the reinforced concrete slab of the well chamber (floor slab)</t>
  </si>
  <si>
    <t>Purchase of material, transport and making of hydro insulation for reinforced concrete slab at level +0.00 of well chamber</t>
  </si>
  <si>
    <t>Purchase of materials, transport and construction of external hydro insulation of well chamber reinforced concrete walls</t>
  </si>
  <si>
    <t>Purchase of materials, transport and installation of protection for hydro insulation of well chamber walls, out of dimpled sheet layer</t>
  </si>
  <si>
    <t>Purchase, transport and installation i.e. processing of concreting joints at points of extensions or breaks in concreting at contact slab-wall, wall-wall and at designed breaks.</t>
  </si>
  <si>
    <t>Purchase, making, transport and installation of metal cover for going down into the well house object (standard cast iron cover)</t>
  </si>
  <si>
    <t>Purchase, construction, transport and installation of standard cast iron ladders, installed in the object</t>
  </si>
  <si>
    <t>SUMMARY 24g. WELL CHAMBER</t>
  </si>
  <si>
    <t>TOTAL 24g.:</t>
  </si>
  <si>
    <t>25. RETAINING STRUCTURE WITH A FENCE</t>
  </si>
  <si>
    <t>RETAINING WALL</t>
  </si>
  <si>
    <t>Marking of the object and installation of corner profiles. Calculation per m1.</t>
  </si>
  <si>
    <t>retaining wall</t>
  </si>
  <si>
    <t>Mechanical excavation of soil for foundations of retaining walls, with deposition of soil to a temporary landfill next to the excavation pit for later backfilling around the concreted foundations</t>
  </si>
  <si>
    <t>Planning, leveling and compacting of subsoil of the foundation pit upon completed excavation</t>
  </si>
  <si>
    <t xml:space="preserve">Purchase, transport, backfill and compacting of sand in layers, maximum 30 cm, around the concreted retaining wall object, on the front side for restoring the level of the existing terrain. </t>
  </si>
  <si>
    <t xml:space="preserve">Purchase, transport, backfilling and compacting of a tampon layer made of natural gravel mixture, under the foundation beam, total thickness of the layer d=20 cm. </t>
  </si>
  <si>
    <t>Backfilling and compacting of excavated soul up to the level of the existing terrain, in layers of max. 30 cm, around the concreted retaining wall object, on the back side for restoring the level of the existing terrain.</t>
  </si>
  <si>
    <t xml:space="preserve">Loading of excavated soil into a vehicle, transport, unloading on a landfill or a place designated by the Investor, up to 10 km away. </t>
  </si>
  <si>
    <t>FENCE AROUND THE COMPLEX</t>
  </si>
  <si>
    <t>Mechanical excavation of II category soil with a layer of humus for foundations of the fence</t>
  </si>
  <si>
    <t>Purchase, transport, backfilling and compacting of a tampon layer made of natural gravel mixture, under the foundation beam, total thickness of the layer d=20 cm.</t>
  </si>
  <si>
    <t>Backfilling and compacting of soil from excavation around the concreted foundation beams up to the level of the existing terrain, in layer of max. 30 cm.</t>
  </si>
  <si>
    <t>FENCES IN THE INTERNAL PART OF THE COMPLEX</t>
  </si>
  <si>
    <t xml:space="preserve">Combined excavation of backfilled material (sand) for foundation beam of the fence with removal to temporary landfills next to the pit, for later backfilling around concreted foundations </t>
  </si>
  <si>
    <t>Purchase, transport, backfilling and compacting of a tampon layer made of natural gravel mixture, under the foundation beam, total thickness of the layer d=20 cm</t>
  </si>
  <si>
    <t xml:space="preserve">Backfilling and compacting of sand from excavation around the concreted foundation beams up to the level of the existing terrain, in layer of max. 30 cm. </t>
  </si>
  <si>
    <t>Loading of excavated soil into a vehicle, transport and spreading of material within the site or transport to a place designated by the Investor, up to 10 km away.</t>
  </si>
  <si>
    <t xml:space="preserve">Construction of tampon out of non-reinforced concrete CC15 d=5cm under the foundation footing of the retaining wall and fence around the complex. </t>
  </si>
  <si>
    <t>Construction of foundation footing for the retaining wall, thickness d=45cm, out of reinforced concrete CC30 in required formwork</t>
  </si>
  <si>
    <t xml:space="preserve">Construction of retaining wall, thickness d=50-40 cm and various height, out of reinforced concrete CC30 in required double formwork. </t>
  </si>
  <si>
    <t>Construction of upper slab for the retaining wall, width 67 cm, thickness d=10cm, out of reinforced concrete CC30 in required formwork</t>
  </si>
  <si>
    <t>Construction of foundation beam of the fence, dimensions 25/105cm, out of reinforced concrete CC25 in required formwork, on a previously prepared base</t>
  </si>
  <si>
    <t>SUMMARY 25. RETAINING STRUCTURE WITH A FENCE</t>
  </si>
  <si>
    <t>TOTAL 25.:</t>
  </si>
  <si>
    <t>OTHER WORKS</t>
  </si>
  <si>
    <t>Sub-Total for 4: Other Works</t>
  </si>
  <si>
    <t>Construction  of absorbers thrust from concrete MB 30</t>
  </si>
  <si>
    <t>4.01</t>
  </si>
  <si>
    <t>Sub-total for 3: Pavement Structure</t>
  </si>
  <si>
    <t>dimension 18/24 separation 1 and 2 phase 238 m</t>
  </si>
  <si>
    <t>dimenzion 12/18 cm</t>
  </si>
  <si>
    <t>dimenzion 18/24 cm</t>
  </si>
  <si>
    <t>Laying of concrete curbs</t>
  </si>
  <si>
    <r>
      <t>m</t>
    </r>
    <r>
      <rPr>
        <vertAlign val="superscript"/>
        <sz val="12"/>
        <rFont val="Times New Roman"/>
        <family val="1"/>
      </rPr>
      <t>2</t>
    </r>
  </si>
  <si>
    <t>Construction  thickness BNS 32 Са d=6 cm</t>
  </si>
  <si>
    <t>Construction  thickness  BNS 22 sA  d= 7 cm</t>
  </si>
  <si>
    <r>
      <t>m</t>
    </r>
    <r>
      <rPr>
        <vertAlign val="superscript"/>
        <sz val="12"/>
        <rFont val="Times New Roman"/>
        <family val="1"/>
      </rPr>
      <t>3</t>
    </r>
  </si>
  <si>
    <t xml:space="preserve">   d= 15 cm</t>
  </si>
  <si>
    <t xml:space="preserve"> </t>
  </si>
  <si>
    <t>PAVEMENT STRUCTURE</t>
  </si>
  <si>
    <t>Sub-total for 2: Earthworks</t>
  </si>
  <si>
    <t>Transportation of earthlike materials.</t>
  </si>
  <si>
    <t>Forming of the sand embankment,  or materials of the same characteristics specified in the technical conditions .</t>
  </si>
  <si>
    <t>Compaction of the subsoil</t>
  </si>
  <si>
    <t>EARTHWORKS</t>
  </si>
  <si>
    <t>Sub-Total for 1:Preliminary Works</t>
  </si>
  <si>
    <t>Adjustment and protection of gas installation and installation of petroleum lines</t>
  </si>
  <si>
    <t>Adjustment and protection of water and sewer installations</t>
  </si>
  <si>
    <t>Adjustment and protection of supplementary and subsidiary telephone cables</t>
  </si>
  <si>
    <t>Adjustment and protection of supplementary and subsidiary electric lines</t>
  </si>
  <si>
    <t>Removal of waste and debris.</t>
  </si>
  <si>
    <t xml:space="preserve">Removal of the traffic signs and billbords. </t>
  </si>
  <si>
    <t xml:space="preserve">Sealing the existing drains. </t>
  </si>
  <si>
    <t xml:space="preserve">Elevation regulation of manhole covers and drains. </t>
  </si>
  <si>
    <t xml:space="preserve">Scraping of the asphalt layer. </t>
  </si>
  <si>
    <t xml:space="preserve">Preparation of temporary joints for continuing asphalt works. </t>
  </si>
  <si>
    <t xml:space="preserve">Parking demolition. </t>
  </si>
  <si>
    <t>PRELIMINARY WORKS</t>
  </si>
  <si>
    <r>
      <rPr>
        <b/>
        <sz val="11"/>
        <rFont val="Times New Roman"/>
        <family val="1"/>
        <charset val="1"/>
      </rPr>
      <t>TOTAL 6:</t>
    </r>
  </si>
  <si>
    <t xml:space="preserve">Place wooden pedestrian crossings made of quality wood at each 100 m of the route. </t>
  </si>
  <si>
    <r>
      <rPr>
        <sz val="11"/>
        <rFont val="Times New Roman"/>
        <family val="1"/>
        <charset val="1"/>
      </rPr>
      <t>1</t>
    </r>
  </si>
  <si>
    <r>
      <rPr>
        <b/>
        <sz val="11"/>
        <rFont val="Times New Roman"/>
        <family val="1"/>
        <charset val="1"/>
      </rPr>
      <t>TOTAL 5:</t>
    </r>
  </si>
  <si>
    <r>
      <rPr>
        <b/>
        <sz val="11"/>
        <rFont val="Times New Roman"/>
        <family val="1"/>
        <charset val="1"/>
      </rPr>
      <t>TOTAL 4:</t>
    </r>
  </si>
  <si>
    <t xml:space="preserve">Purchase of materials, loading, transport to the site, unloading, delivery along the trench and installation of all fittings, valves and pipes, with required seals and connection material. </t>
  </si>
  <si>
    <r>
      <rPr>
        <b/>
        <sz val="11"/>
        <rFont val="Times New Roman"/>
        <family val="1"/>
        <charset val="1"/>
      </rPr>
      <t>TOTAL 3:</t>
    </r>
  </si>
  <si>
    <r>
      <rPr>
        <b/>
        <sz val="11"/>
        <rFont val="Times New Roman"/>
        <family val="1"/>
        <charset val="1"/>
      </rPr>
      <t>TOTAL 2:</t>
    </r>
  </si>
  <si>
    <r>
      <rPr>
        <b/>
        <sz val="11"/>
        <rFont val="Times New Roman"/>
        <family val="1"/>
        <charset val="1"/>
      </rPr>
      <t>TOTAL 1:</t>
    </r>
  </si>
  <si>
    <t>Staking and marking of pipeline route</t>
  </si>
  <si>
    <t xml:space="preserve">Sanitary water supply network </t>
  </si>
  <si>
    <t xml:space="preserve">Hydrant network </t>
  </si>
  <si>
    <t xml:space="preserve">Mechanical excavation of the trench </t>
  </si>
  <si>
    <t xml:space="preserve">Manual excavation of the trench </t>
  </si>
  <si>
    <t>Making of sand bedding, hp=10 cm</t>
  </si>
  <si>
    <t>Backfilling of the trench by sand</t>
  </si>
  <si>
    <t>Backfilling of the trench by soil from the excavation</t>
  </si>
  <si>
    <t>6</t>
  </si>
  <si>
    <t xml:space="preserve">Transport of excess soil from the trench. ATD 10 km: </t>
  </si>
  <si>
    <t>Shoring of trench sides.</t>
  </si>
  <si>
    <t>a</t>
  </si>
  <si>
    <t>Pipes</t>
  </si>
  <si>
    <t xml:space="preserve">Water pipes made of polyethylene PE-100, NP 10 bar, Ø110 mm (ND 100 mm) </t>
  </si>
  <si>
    <t xml:space="preserve">Water pipes made of polyethylene PE-100, NP 10 bar, Ø75 mm (ND 65 mm) </t>
  </si>
  <si>
    <t xml:space="preserve">Water pipes made of polyethylene PE-100, NP 10 bar, Ø 65 mm (ND 50 mm) </t>
  </si>
  <si>
    <t xml:space="preserve">Water pipes made of polyethylene PE-100, NP 10 bar, Ø 40 mm (ND 32 mm) </t>
  </si>
  <si>
    <r>
      <rPr>
        <sz val="12"/>
        <rFont val="Times New Roman"/>
        <family val="1"/>
        <charset val="1"/>
      </rPr>
      <t>Purchase and installation of standpipe.</t>
    </r>
  </si>
  <si>
    <r>
      <rPr>
        <sz val="12"/>
        <rFont val="Times New Roman"/>
        <family val="1"/>
        <charset val="1"/>
      </rPr>
      <t>Purchase and installation of valves with all required equipment (flange adaptors, flanges ...).</t>
    </r>
  </si>
  <si>
    <t xml:space="preserve">Construction of concrete slabs </t>
  </si>
  <si>
    <t>Construction of concrete slabs d=15 cm, out of compacted concrete MB20, around the standpipes and round cover cap.</t>
  </si>
  <si>
    <t xml:space="preserve">* Around the standpipe and cover dim. 100x50/15 cm  </t>
  </si>
  <si>
    <t xml:space="preserve">* Around the cover cap dim. 30x30/15 cm  </t>
  </si>
  <si>
    <t>Construction and installation of a water meter shaft.</t>
  </si>
  <si>
    <t>Construction and installation of well pump shaft.</t>
  </si>
  <si>
    <t>Pressure testing of the pipeline</t>
  </si>
  <si>
    <t xml:space="preserve">Flushing, disinfection of pipeline and bacteriological examination of water </t>
  </si>
  <si>
    <t>Placing a temporary pedestrian crossing.</t>
  </si>
  <si>
    <t>Lowering the ground water level.</t>
  </si>
  <si>
    <t xml:space="preserve">Designed time of water drainage by waterpoints is </t>
  </si>
  <si>
    <t>Purchase, transport and placing a cabinet for standpipe equipment.</t>
  </si>
  <si>
    <t xml:space="preserve">The cabinet consists of 2 trevira hoses 52 15m long, nozzle, key and other required equipment for hydrants outside the object.   </t>
  </si>
  <si>
    <t xml:space="preserve">	GEODETIC WORKS</t>
  </si>
  <si>
    <t xml:space="preserve">	GROUND WORKS</t>
  </si>
  <si>
    <t xml:space="preserve">	CARPENTRY WORKS</t>
  </si>
  <si>
    <t xml:space="preserve">	INSTALLATION WORKS</t>
  </si>
  <si>
    <t xml:space="preserve">	CONCRETE WORKS</t>
  </si>
  <si>
    <t xml:space="preserve">	OTHER WORKS</t>
  </si>
  <si>
    <t xml:space="preserve">Purchase and installation of polypropylene (plastic) water supply pipes with all required fittings on the pipe network. </t>
  </si>
  <si>
    <t>Purchase, transport and installation of a complete white fayans washbasin, II class. Washbasin size is 55/44 cm.</t>
  </si>
  <si>
    <t xml:space="preserve">Purchase, transport and installation of a complete white fayans accessible washbasin, II class. Washbasin size is 64/55 cm. </t>
  </si>
  <si>
    <t xml:space="preserve">Purchase, transport and installation of a complete metal washbasin, II class. Washbasin size is 45/35 cm. </t>
  </si>
  <si>
    <t xml:space="preserve">Purchase, transport and installation of a complete white fayans toilet, II class. Mount an EK valve Ø15 mm </t>
  </si>
  <si>
    <t>Purchase, transport and installation of the entire sanitary equipment for WC, for people with disabilities</t>
  </si>
  <si>
    <t>Purchase and installation of fayans urinal which consists of: urinal pan, siphon set, flush valve with elbow valve, PE drain elbow Ø50 mm, flat valve DN 15.</t>
  </si>
  <si>
    <t xml:space="preserve">Purchase, transport and installation of the entire sanitary equipment for Asian style WC pan (retention room) </t>
  </si>
  <si>
    <t>Purchase and installation of wall mounted single lever mixer for hot and cold water with a fixed outlet for trocadero.</t>
  </si>
  <si>
    <t>*paper towel dispenser produced by "Kimberly-Clark" or similar</t>
  </si>
  <si>
    <t>*toilet paper dispenser produced by "Kimberly-Clark" or similar</t>
  </si>
  <si>
    <t>*dispenser produced by "Kimberly-Clark" or similar</t>
  </si>
  <si>
    <t>*hangers-hooks for suits (mounted on the internal we cabin door)</t>
  </si>
  <si>
    <t>* WC brush</t>
  </si>
  <si>
    <t>* mirror, dimensions 150x80 cm</t>
  </si>
  <si>
    <t>* mirror, dimensions 70x80 cm</t>
  </si>
  <si>
    <t>* mirror, dimensions 60*80 cm for people with disabilities</t>
  </si>
  <si>
    <t>* fixed wall grab bar for people with disabilities</t>
  </si>
  <si>
    <t>* mobile wall grab bar for people with disabilities</t>
  </si>
  <si>
    <t>* hand dryer</t>
  </si>
  <si>
    <t xml:space="preserve">Purchase and installation of galvanized water supply pipes with all required fittings on the pipe network. </t>
  </si>
  <si>
    <t xml:space="preserve">Purchase, transport and installation of complete wall hydrant. Hydrant consists of a steel cabinet, standard dimensions 50x50 cm, with a lock. </t>
  </si>
  <si>
    <t xml:space="preserve">	SANITARY DEVICES</t>
  </si>
  <si>
    <t xml:space="preserve">	SANITARY FITTINGS</t>
  </si>
  <si>
    <t xml:space="preserve">	HYDRANT NETWORK</t>
  </si>
  <si>
    <t>EXTERNAL WATER SUPPLY</t>
  </si>
  <si>
    <t>INTERNAL WATER SUPPLY</t>
  </si>
  <si>
    <t>TOTAL INTERNAL WATER SUPPLY:</t>
  </si>
  <si>
    <t>TOTAL EXTERNAL WATER SUPPLY:</t>
  </si>
  <si>
    <r>
      <rPr>
        <sz val="12"/>
        <rFont val="Times New Roman"/>
        <family val="1"/>
        <charset val="1"/>
      </rPr>
      <t>1.</t>
    </r>
  </si>
  <si>
    <t>Making of structural bore ø146 mm, direct method with continuous monitoring of lithology of extracted material and other occurrences important for defining hydro-geological characteristics.</t>
  </si>
  <si>
    <r>
      <rPr>
        <sz val="12"/>
        <rFont val="Times New Roman"/>
        <family val="1"/>
        <charset val="1"/>
      </rPr>
      <t>2.</t>
    </r>
  </si>
  <si>
    <t xml:space="preserve">Electric - bore hole logging (own potential, gamma-gamma and electrical resistance). </t>
  </si>
  <si>
    <r>
      <rPr>
        <sz val="12"/>
        <rFont val="Times New Roman"/>
        <family val="1"/>
        <charset val="1"/>
      </rPr>
      <t>3.</t>
    </r>
  </si>
  <si>
    <r>
      <rPr>
        <sz val="12"/>
        <rFont val="Times New Roman"/>
        <family val="1"/>
        <charset val="1"/>
      </rPr>
      <t xml:space="preserve">Extension of the bore hole by a chisel Ø 240 mm with flushing by light bentonite slurries in interval between 0.0 and 98.0 m. </t>
    </r>
  </si>
  <si>
    <r>
      <rPr>
        <sz val="12"/>
        <rFont val="Times New Roman"/>
        <family val="1"/>
        <charset val="1"/>
      </rPr>
      <t>Flat rate</t>
    </r>
  </si>
  <si>
    <r>
      <rPr>
        <sz val="12"/>
        <rFont val="Times New Roman"/>
        <family val="1"/>
        <charset val="1"/>
      </rPr>
      <t>4.</t>
    </r>
  </si>
  <si>
    <r>
      <rPr>
        <sz val="12"/>
        <rFont val="Times New Roman"/>
        <family val="1"/>
        <charset val="1"/>
      </rPr>
      <t>Purchase, preparation and installation of PVC well structure:</t>
    </r>
  </si>
  <si>
    <r>
      <rPr>
        <sz val="12"/>
        <rFont val="Times New Roman"/>
        <family val="1"/>
        <charset val="1"/>
      </rPr>
      <t>4.1.</t>
    </r>
  </si>
  <si>
    <r>
      <rPr>
        <sz val="12"/>
        <rFont val="Times New Roman"/>
        <family val="1"/>
        <charset val="1"/>
      </rPr>
      <t>Water well column Ø 125 mm, in interval from + 0.5 to 70.0 m.</t>
    </r>
  </si>
  <si>
    <r>
      <rPr>
        <sz val="12"/>
        <rFont val="Times New Roman"/>
        <family val="1"/>
        <charset val="1"/>
      </rPr>
      <t>4.2.</t>
    </r>
  </si>
  <si>
    <r>
      <rPr>
        <sz val="12"/>
        <rFont val="Times New Roman"/>
        <family val="1"/>
        <charset val="1"/>
      </rPr>
      <t>Perforated filters Ø 125 mm with PVC screen and galvanized wire Ø  4 mm, in intervals 70.0 - 73.0 m, 80.0 - 82.0 m, 86.0 - 89.0 m, 96.0 - 100.0 m, 110.0 - 112.0 m, 132.0 - 136.0 m;</t>
    </r>
  </si>
  <si>
    <r>
      <rPr>
        <sz val="12"/>
        <rFont val="Times New Roman"/>
        <family val="1"/>
        <charset val="1"/>
      </rPr>
      <t>4.4.</t>
    </r>
  </si>
  <si>
    <r>
      <rPr>
        <sz val="12"/>
        <rFont val="Times New Roman"/>
        <family val="1"/>
        <charset val="1"/>
      </rPr>
      <t>Intermediate filters Ø 125 mm, in intervals 73.0 - 80.0 m, 82.0 - 86.0 m, 89.0 - 96.0 м, 100.0 - 110.0 m, 112.0 - 132.0 m;</t>
    </r>
  </si>
  <si>
    <r>
      <rPr>
        <sz val="12"/>
        <rFont val="Times New Roman"/>
        <family val="1"/>
        <charset val="1"/>
      </rPr>
      <t>4.5.</t>
    </r>
  </si>
  <si>
    <r>
      <rPr>
        <sz val="12"/>
        <rFont val="Times New Roman"/>
        <family val="1"/>
        <charset val="1"/>
      </rPr>
      <t>Settler Ø 125 mm, in interval 136.0 to 140.0 m;</t>
    </r>
  </si>
  <si>
    <r>
      <rPr>
        <sz val="12"/>
        <rFont val="Times New Roman"/>
        <family val="1"/>
        <charset val="1"/>
      </rPr>
      <t>5.</t>
    </r>
  </si>
  <si>
    <t>Purchase, preparation and installation of filter backfill our of granulated quartz aggregate d=1-3 mm, in interval from 140.00 to 60.00 m.</t>
  </si>
  <si>
    <r>
      <rPr>
        <sz val="12"/>
        <rFont val="Times New Roman"/>
        <family val="1"/>
        <charset val="1"/>
      </rPr>
      <t>6.</t>
    </r>
  </si>
  <si>
    <r>
      <rPr>
        <sz val="12"/>
        <rFont val="Times New Roman"/>
        <family val="1"/>
        <charset val="1"/>
      </rPr>
      <t>Insulation of aquifer with clay, with swelling properties, in interval 60.00 - 55.00 m.</t>
    </r>
  </si>
  <si>
    <r>
      <rPr>
        <sz val="12"/>
        <rFont val="Times New Roman"/>
        <family val="1"/>
        <charset val="1"/>
      </rPr>
      <t>7.</t>
    </r>
  </si>
  <si>
    <r>
      <rPr>
        <sz val="12"/>
        <rFont val="Times New Roman"/>
        <family val="1"/>
        <charset val="1"/>
      </rPr>
      <t>Purchase and installation of backfill made of drilled material, in ring interspace above the clay tampon in interval 55.00 to 0.00 m.</t>
    </r>
  </si>
  <si>
    <r>
      <rPr>
        <sz val="12"/>
        <rFont val="Times New Roman"/>
        <family val="1"/>
        <charset val="1"/>
      </rPr>
      <t>8.</t>
    </r>
  </si>
  <si>
    <r>
      <rPr>
        <sz val="12"/>
        <rFont val="Times New Roman"/>
        <family val="1"/>
        <charset val="1"/>
      </rPr>
      <t>Development of the well by a pumping station, by stages, with packers up to clarification.</t>
    </r>
  </si>
  <si>
    <r>
      <rPr>
        <sz val="12"/>
        <rFont val="Times New Roman"/>
        <family val="1"/>
        <charset val="1"/>
      </rPr>
      <t>h</t>
    </r>
  </si>
  <si>
    <r>
      <rPr>
        <sz val="12"/>
        <rFont val="Times New Roman"/>
        <family val="1"/>
        <charset val="1"/>
      </rPr>
      <t>9.</t>
    </r>
  </si>
  <si>
    <r>
      <rPr>
        <sz val="12"/>
        <rFont val="Times New Roman"/>
        <family val="1"/>
        <charset val="1"/>
      </rPr>
      <t>Testing the well with three lowerings and rising of level, during 24 h</t>
    </r>
  </si>
  <si>
    <r>
      <rPr>
        <sz val="12"/>
        <rFont val="Times New Roman"/>
        <family val="1"/>
        <charset val="1"/>
      </rPr>
      <t>10.</t>
    </r>
  </si>
  <si>
    <r>
      <rPr>
        <sz val="12"/>
        <rFont val="Times New Roman"/>
        <family val="1"/>
        <charset val="1"/>
      </rPr>
      <t>Making of technical report on executed works with certificates for installed material and recommendations for further exploitation;</t>
    </r>
  </si>
  <si>
    <r>
      <rPr>
        <b/>
        <sz val="12"/>
        <rFont val="Times New Roman"/>
        <family val="1"/>
        <charset val="1"/>
      </rPr>
      <t>TOTAL I:</t>
    </r>
  </si>
  <si>
    <r>
      <rPr>
        <sz val="12"/>
        <rFont val="Times New Roman"/>
        <family val="1"/>
        <charset val="1"/>
      </rPr>
      <t>Making of design of detailed hydrological research</t>
    </r>
  </si>
  <si>
    <r>
      <rPr>
        <sz val="12"/>
        <rFont val="Times New Roman"/>
        <family val="1"/>
        <charset val="1"/>
      </rPr>
      <t>Making and processing of a study on groundwater reserves</t>
    </r>
  </si>
  <si>
    <r>
      <rPr>
        <sz val="12"/>
        <rFont val="Times New Roman"/>
        <family val="1"/>
        <charset val="1"/>
      </rPr>
      <t>Making of 4 analysis "V" scope</t>
    </r>
  </si>
  <si>
    <r>
      <rPr>
        <b/>
        <sz val="12"/>
        <rFont val="Times New Roman"/>
        <family val="1"/>
        <charset val="1"/>
      </rPr>
      <t>TOTAL II:</t>
    </r>
  </si>
  <si>
    <t>WELL STRUCTURE</t>
  </si>
  <si>
    <t>A</t>
  </si>
  <si>
    <t>Ø20,DN 15 mm</t>
  </si>
  <si>
    <t>Ø25,DN 20 mm</t>
  </si>
  <si>
    <t>Ø32,DN 25 mm</t>
  </si>
  <si>
    <t>Pressure testing of the pipeline. Replace the defective pipes or joints.</t>
  </si>
  <si>
    <t>Disinfection and bacteriological examination of the pipeline.</t>
  </si>
  <si>
    <t>Purchase and installation of electric water heater, under pressure.</t>
  </si>
  <si>
    <t>V = 50 l.</t>
  </si>
  <si>
    <t>V = 10 l.</t>
  </si>
  <si>
    <t>Purchase and installation of thermal insulation for pipes out of POLYURETHANE or other proper foam insulator.</t>
  </si>
  <si>
    <t>Ø 15-20 mm</t>
  </si>
  <si>
    <t>Ø 25-40 mm</t>
  </si>
  <si>
    <t>Purchase, transport and installation of white fayans trocadero, domestic production, with a grid, cistern, flush pipe and required sealing material.</t>
  </si>
  <si>
    <t xml:space="preserve">Standing single lever mixer for hot and cold water with flexible connections and outlet for washbasin. </t>
  </si>
  <si>
    <t xml:space="preserve">Standing single lever mixer for hot and cold water with flexible connections and outlet for kitchen sink. </t>
  </si>
  <si>
    <t xml:space="preserve">Standing single lever mixer for hot and cold water with flexible connections and outlet for accessible washbasin. </t>
  </si>
  <si>
    <t>Purchase and installation of gate valve with internal thread:</t>
  </si>
  <si>
    <t>- gate valve with a wheel:</t>
  </si>
  <si>
    <t>Ø 20 mm</t>
  </si>
  <si>
    <t>- EK valve</t>
  </si>
  <si>
    <t>- water heater relief valve: Ø 15 mm</t>
  </si>
  <si>
    <t>Required accessories in bathrooms and toilets, as selected by the designer, with all required fixing material:</t>
  </si>
  <si>
    <t>Ø 50 mm</t>
  </si>
  <si>
    <t>Ø 65 mm</t>
  </si>
  <si>
    <t>Calculation per m'.</t>
  </si>
  <si>
    <t>TOTAL WELL CONSTRUCTION</t>
  </si>
  <si>
    <t>WELL STRUCTURE AND DESIGN GEOLOGICAL - TECHNICAL DOCUMENTATION</t>
  </si>
  <si>
    <t>Purchase of materials, loading, transport to the site, unloading, delivery along the trench and installation of all fittings, valves and pipes</t>
  </si>
  <si>
    <t>GEODETIC WORKS</t>
  </si>
  <si>
    <r>
      <rPr>
        <b/>
        <sz val="12"/>
        <rFont val="Times New Roman"/>
        <family val="1"/>
        <charset val="238"/>
      </rPr>
      <t>GEODETIC WORKS</t>
    </r>
  </si>
  <si>
    <r>
      <rPr>
        <b/>
        <sz val="12"/>
        <rFont val="Times New Roman"/>
        <family val="1"/>
        <charset val="238"/>
      </rPr>
      <t>GROUND WORKS</t>
    </r>
  </si>
  <si>
    <r>
      <rPr>
        <b/>
        <sz val="12"/>
        <rFont val="Times New Roman"/>
        <family val="1"/>
        <charset val="238"/>
      </rPr>
      <t>CARPENTRY WORKS</t>
    </r>
  </si>
  <si>
    <r>
      <rPr>
        <b/>
        <sz val="12"/>
        <rFont val="Times New Roman"/>
        <family val="1"/>
        <charset val="238"/>
      </rPr>
      <t>INSTALLATION WORKS</t>
    </r>
  </si>
  <si>
    <r>
      <rPr>
        <b/>
        <sz val="12"/>
        <rFont val="Times New Roman"/>
        <family val="1"/>
        <charset val="238"/>
      </rPr>
      <t>CONCRETE WORKS</t>
    </r>
  </si>
  <si>
    <r>
      <rPr>
        <b/>
        <sz val="12"/>
        <rFont val="Times New Roman"/>
        <family val="1"/>
        <charset val="238"/>
      </rPr>
      <t>OTHER WORKS</t>
    </r>
  </si>
  <si>
    <r>
      <rPr>
        <b/>
        <sz val="12"/>
        <rFont val="Times New Roman"/>
        <family val="1"/>
        <charset val="238"/>
      </rPr>
      <t xml:space="preserve">WATER SUPPLY INSTALLATIONS </t>
    </r>
  </si>
  <si>
    <r>
      <rPr>
        <b/>
        <sz val="12"/>
        <rFont val="Times New Roman"/>
        <family val="1"/>
      </rPr>
      <t>SANITARY DEVICES</t>
    </r>
  </si>
  <si>
    <r>
      <rPr>
        <b/>
        <sz val="12"/>
        <rFont val="Times New Roman"/>
        <family val="1"/>
      </rPr>
      <t>SANITARY FITTINGS</t>
    </r>
  </si>
  <si>
    <r>
      <rPr>
        <b/>
        <sz val="12"/>
        <rFont val="Times New Roman"/>
        <family val="1"/>
      </rPr>
      <t>HYDRANT NETWORK</t>
    </r>
  </si>
  <si>
    <r>
      <rPr>
        <b/>
        <sz val="12"/>
        <rFont val="Times New Roman"/>
        <family val="1"/>
      </rPr>
      <t xml:space="preserve"> WELL STRUCTURE</t>
    </r>
  </si>
  <si>
    <t>TOTAL 1:</t>
  </si>
  <si>
    <t>CARPENTRY WORKS</t>
  </si>
  <si>
    <t>INSTALLATION WORKS</t>
  </si>
  <si>
    <t xml:space="preserve">Sewerage network </t>
  </si>
  <si>
    <t>b</t>
  </si>
  <si>
    <t>Main fecal sewerage route</t>
  </si>
  <si>
    <t>PVC pipes Ø160 mm, class C-20, length L=1.0 m.</t>
  </si>
  <si>
    <t>KGF lead-in made of PVC Ø160 mm for installation in concrete.</t>
  </si>
  <si>
    <r>
      <rPr>
        <sz val="12"/>
        <rFont val="Times New Roman"/>
        <family val="1"/>
        <charset val="1"/>
      </rPr>
      <t>Purchase and installation of pump for draining the tank.</t>
    </r>
  </si>
  <si>
    <t>Testing the watertightness of joints.</t>
  </si>
  <si>
    <t>7</t>
  </si>
  <si>
    <t>Excavation, backfilling by crushed stone and concreting of bottom, retaining layer of waste water purifier.</t>
  </si>
  <si>
    <t>- excavation</t>
  </si>
  <si>
    <t>- backfilling by crushed stone 30 cm</t>
  </si>
  <si>
    <t>- concreting of the bottom retaining layer 30 cm</t>
  </si>
  <si>
    <t>8</t>
  </si>
  <si>
    <t>9</t>
  </si>
  <si>
    <t>Purchase, transport and installation of shaft cover for waste water treatment plant.</t>
  </si>
  <si>
    <t>Calculation per piece of installed cover.</t>
  </si>
  <si>
    <r>
      <rPr>
        <b/>
        <sz val="12"/>
        <rFont val="Times New Roman"/>
        <family val="1"/>
        <charset val="1"/>
      </rPr>
      <t>A.</t>
    </r>
  </si>
  <si>
    <t>EXTERNAL SEWERAGE</t>
  </si>
  <si>
    <t xml:space="preserve">Purchase and installation of PVC sewerage pipes with proper fittings. </t>
  </si>
  <si>
    <t xml:space="preserve">SEWERAGE INSTALLATIONS </t>
  </si>
  <si>
    <t>Calculation per m of finished pipeline.</t>
  </si>
  <si>
    <t xml:space="preserve">Ø 50 mm - PVC </t>
  </si>
  <si>
    <t xml:space="preserve">Ø 75 mm - PVC </t>
  </si>
  <si>
    <t xml:space="preserve">Ø 110 mm - PVC </t>
  </si>
  <si>
    <t xml:space="preserve">Ø 160 mm - PVC </t>
  </si>
  <si>
    <t>Purchase and installation of PVC vent cap.</t>
  </si>
  <si>
    <t>Calculation for completely installed vent cap.</t>
  </si>
  <si>
    <t xml:space="preserve">Ø 110 mm </t>
  </si>
  <si>
    <t>Purchase and installation of vertical floor drains with plastic housing and chrome grid.</t>
  </si>
  <si>
    <t>Calculation for completely installed drain.</t>
  </si>
  <si>
    <t xml:space="preserve">Ø 50 mm </t>
  </si>
  <si>
    <t>TOTAL WATER SUPPLY:</t>
  </si>
  <si>
    <t>TOTAL SEWERAGE INSTALLATIONS:</t>
  </si>
  <si>
    <t>SURFACE WATER SEWER</t>
  </si>
  <si>
    <t>Marking and recording of sewer rout.</t>
  </si>
  <si>
    <t>Surface water sewer - pipeline</t>
  </si>
  <si>
    <t>Connection pipeline</t>
  </si>
  <si>
    <t>Under road connection pipeline</t>
  </si>
  <si>
    <t xml:space="preserve">Marking of as-build sewage.                                                               </t>
  </si>
  <si>
    <t>Mechanical excavation for placing pipes</t>
  </si>
  <si>
    <t xml:space="preserve">Manuall excavation for placing pipes         </t>
  </si>
  <si>
    <t xml:space="preserve">Putting 10cm thick sand pipe bed </t>
  </si>
  <si>
    <t>Filling the trench with sand</t>
  </si>
  <si>
    <t>Filling the trench with excavated soil</t>
  </si>
  <si>
    <t>The trench extension at the installation place of inspection manhole</t>
  </si>
  <si>
    <t>Excavation for placing connection pipes between road drain and inspection manhole</t>
  </si>
  <si>
    <t>Transport of surplus material to landfill determined by the Investor and the Supervisory Authority.</t>
  </si>
  <si>
    <t>Wooden support for trench</t>
  </si>
  <si>
    <t>Corrugated sewer pipes</t>
  </si>
  <si>
    <t xml:space="preserve">Acquiring, transport and placing of corrugated pipes PEHD SN 8 and their fittings. </t>
  </si>
  <si>
    <t xml:space="preserve">PEHD pipe Ø 500 mm </t>
  </si>
  <si>
    <t xml:space="preserve">PEHD pipe Ø 400 mm </t>
  </si>
  <si>
    <t xml:space="preserve">PEHD pipe Ø 300 mm </t>
  </si>
  <si>
    <t xml:space="preserve">PEHD pipe Ø 250 mm </t>
  </si>
  <si>
    <t xml:space="preserve">PEHD pipe Ø 200 mm </t>
  </si>
  <si>
    <t xml:space="preserve">PEHD pipe Ø 150 mm </t>
  </si>
  <si>
    <t>Short corrugated sewer pipes</t>
  </si>
  <si>
    <t xml:space="preserve">Acquiring, transport and placing of short corrugated pipes PEHD and their fittings, L=1.0 m. </t>
  </si>
  <si>
    <t>Road manhole cover</t>
  </si>
  <si>
    <t>Cover for inspection manhole</t>
  </si>
  <si>
    <t>Cover for separator</t>
  </si>
  <si>
    <t>Cast iron steps</t>
  </si>
  <si>
    <t>Coalesce separator for oil derivatives</t>
  </si>
  <si>
    <t>Linear storm water drainage</t>
  </si>
  <si>
    <t>RD 300 V</t>
  </si>
  <si>
    <t>RD 200 V</t>
  </si>
  <si>
    <t>ASSEMBLY WORKS TOTAL 4.:</t>
  </si>
  <si>
    <t>Manhole bottom slab</t>
  </si>
  <si>
    <t>6,41</t>
  </si>
  <si>
    <t>Prefabricated reinforced concrete rings Ø 1000 mm</t>
  </si>
  <si>
    <t>38</t>
  </si>
  <si>
    <t>Finishing conic reinforced concrete ring</t>
  </si>
  <si>
    <t>19</t>
  </si>
  <si>
    <t>Reinforced concrete manhole with inner dimensions 1.2*1.2 m and average depth 3 m</t>
  </si>
  <si>
    <t>5,00</t>
  </si>
  <si>
    <t>Reinforced concrete manhole cover frame</t>
  </si>
  <si>
    <t>23</t>
  </si>
  <si>
    <t>Concrete road drain with grating</t>
  </si>
  <si>
    <t>2,00</t>
  </si>
  <si>
    <t>Outflow facility</t>
  </si>
  <si>
    <t>CONCRETE WORKS TOTAL 5.:</t>
  </si>
  <si>
    <t>Lower groundwater level</t>
  </si>
  <si>
    <t>h</t>
  </si>
  <si>
    <t>Recording a newly constructed sewage network with a special camera for sewage recording.</t>
  </si>
  <si>
    <t>Elaboration of as-built design</t>
  </si>
  <si>
    <t>Testing water impermeability of joints.</t>
  </si>
  <si>
    <t xml:space="preserve">Technical inspection </t>
  </si>
  <si>
    <t>MISCELLANEOUS WORKS TOTAL 6.:</t>
  </si>
  <si>
    <t>CARPENTRY WORK  TOTAL 3.:</t>
  </si>
  <si>
    <t>EARTH WORKS</t>
  </si>
  <si>
    <t>ASSEMBLY WORKS</t>
  </si>
  <si>
    <t>MISCELLANEOUS WORKS</t>
  </si>
  <si>
    <t xml:space="preserve"> 1.1.1</t>
  </si>
  <si>
    <t xml:space="preserve"> 1.1.1.1</t>
  </si>
  <si>
    <t>foil clas 2</t>
  </si>
  <si>
    <t xml:space="preserve"> 1.1.2</t>
  </si>
  <si>
    <t>SIGNAL  OF THE GROUP II</t>
  </si>
  <si>
    <t xml:space="preserve"> 1.1.2.2</t>
  </si>
  <si>
    <t>foil clas 3</t>
  </si>
  <si>
    <t xml:space="preserve"> 1.1.2.3</t>
  </si>
  <si>
    <t xml:space="preserve"> 1.1.3</t>
  </si>
  <si>
    <t>SIGNAL  OF THE GROUP III</t>
  </si>
  <si>
    <t>1.1.3.1</t>
  </si>
  <si>
    <t xml:space="preserve"> 1.1.3.2</t>
  </si>
  <si>
    <t>1.1.3.3</t>
  </si>
  <si>
    <t>1.1.3.4</t>
  </si>
  <si>
    <t>1.1.3.5</t>
  </si>
  <si>
    <t>1.1.3.6</t>
  </si>
  <si>
    <t>1.1.3.7</t>
  </si>
  <si>
    <t>1.1.3.8</t>
  </si>
  <si>
    <t>1.1.3.9</t>
  </si>
  <si>
    <t xml:space="preserve"> 1.1.4.</t>
  </si>
  <si>
    <t>SIGNAL  OF THE GROUP IV</t>
  </si>
  <si>
    <t xml:space="preserve"> 1.1.4.1</t>
  </si>
  <si>
    <t>Rectangle 60*15 cm</t>
  </si>
  <si>
    <t xml:space="preserve"> 1.1.4.2</t>
  </si>
  <si>
    <t>Rectangle 60*30 cm</t>
  </si>
  <si>
    <t xml:space="preserve"> 1.1.4.3</t>
  </si>
  <si>
    <t>Rectangle 60*35 cm</t>
  </si>
  <si>
    <t xml:space="preserve"> 1.1.5.</t>
  </si>
  <si>
    <t>dimensions 160х80</t>
  </si>
  <si>
    <t>1.1.6.</t>
  </si>
  <si>
    <t>1.1.6.1</t>
  </si>
  <si>
    <t>dimensions 60х80 cm</t>
  </si>
  <si>
    <t>1.1.6.2</t>
  </si>
  <si>
    <t>dimensions 65х45 cm</t>
  </si>
  <si>
    <t>1.1.6.3</t>
  </si>
  <si>
    <t>dimensions 85х40 cm</t>
  </si>
  <si>
    <t xml:space="preserve">  1.2.1</t>
  </si>
  <si>
    <t xml:space="preserve">  1.2.2</t>
  </si>
  <si>
    <t>Single pillar</t>
  </si>
  <si>
    <t xml:space="preserve">  1.2.3</t>
  </si>
  <si>
    <t>Lattice pillar</t>
  </si>
  <si>
    <t xml:space="preserve">  1.2.4</t>
  </si>
  <si>
    <t>Half portal height h=5m range extension L=3.5m</t>
  </si>
  <si>
    <t xml:space="preserve">  1.2.5</t>
  </si>
  <si>
    <t>Half portal height h=5m range extension L=4.5m</t>
  </si>
  <si>
    <t xml:space="preserve"> 2.1.1</t>
  </si>
  <si>
    <t>Longitudinal markings on the road width of 0.15m</t>
  </si>
  <si>
    <t xml:space="preserve"> 2.1.2</t>
  </si>
  <si>
    <t>Cross markings on the road</t>
  </si>
  <si>
    <t xml:space="preserve"> 2.1.3</t>
  </si>
  <si>
    <t>Other markings on the road</t>
  </si>
  <si>
    <t xml:space="preserve"> 2.2.1</t>
  </si>
  <si>
    <t>2.3.1</t>
  </si>
  <si>
    <t>3,1</t>
  </si>
  <si>
    <t>Quardrail H1-W3-A</t>
  </si>
  <si>
    <t>Quardrail N2-W1-B</t>
  </si>
  <si>
    <t>TRAFFIC SIGNALING TOTAL:</t>
  </si>
  <si>
    <t>TRAFFIC SIGNALIZATION AND EQUIPMENT</t>
  </si>
  <si>
    <t>PREPARATION WORKS</t>
  </si>
  <si>
    <t>I 	GROUND WORKS</t>
  </si>
  <si>
    <t>TRAFFIC DESIGN</t>
  </si>
  <si>
    <t xml:space="preserve">Cutting and marking of road and objects. </t>
  </si>
  <si>
    <t>Demolition of existing pavement.</t>
  </si>
  <si>
    <t xml:space="preserve">Demolition of existing curbs. </t>
  </si>
  <si>
    <t xml:space="preserve">Demolition of pedestrian and bycicle lane. </t>
  </si>
  <si>
    <t xml:space="preserve">Producing the project of derived state
</t>
  </si>
  <si>
    <t xml:space="preserve">Excavation in the wide trench. </t>
  </si>
  <si>
    <t>Spreading of the earthlike material in the landfill.</t>
  </si>
  <si>
    <t>Construction of the bearing thickness from the mechanicaly compacted granular rock material (0-31.5)mm</t>
  </si>
  <si>
    <t>Construction of the bearing thickness from the mechanicaly compacted granular rock material  (0-63)mm d=20cm</t>
  </si>
  <si>
    <t>Production of pedestrian surfaces and islands of two-layer concrete slabs d = 6 cm on a layer of stone fraction (2-4) mm, thickness 4 cm</t>
  </si>
  <si>
    <t>Making and installation of RC shafts Ø 1000 mm.</t>
  </si>
  <si>
    <r>
      <t>m</t>
    </r>
    <r>
      <rPr>
        <vertAlign val="superscript"/>
        <sz val="12"/>
        <color theme="1"/>
        <rFont val="Times New Roman"/>
        <family val="1"/>
      </rPr>
      <t>2</t>
    </r>
  </si>
  <si>
    <t>2,3</t>
  </si>
  <si>
    <t>VERTICAL TRAFFIC SIGNALIZATION</t>
  </si>
  <si>
    <t>STANDARD VERTICAL TRAFFIC SIGNALIZATION</t>
  </si>
  <si>
    <t>Triangular А=90  cm</t>
  </si>
  <si>
    <t>Octagonal А=90  cm</t>
  </si>
  <si>
    <t>Circular  Ø60 cm</t>
  </si>
  <si>
    <t>Square   60*60 cm</t>
  </si>
  <si>
    <t>Rectangle 600x800 mm</t>
  </si>
  <si>
    <t>Rectangle 800x1000 mm</t>
  </si>
  <si>
    <t>Rectangle 300x1000 mm</t>
  </si>
  <si>
    <t>Rectangle 600x1200 mm</t>
  </si>
  <si>
    <t>Rectangle 900x7500 mm</t>
  </si>
  <si>
    <t>Rectangle 2000x2800 mm</t>
  </si>
  <si>
    <t>Rectangle 1700x750 mm</t>
  </si>
  <si>
    <t>Rectangle 2500x750 mm</t>
  </si>
  <si>
    <t>IT fittment</t>
  </si>
  <si>
    <t>IN panel</t>
  </si>
  <si>
    <t>PILLAR OF THE TRAFFIC SIGN</t>
  </si>
  <si>
    <t>THE PILLAR OF THE TRAFFIC SIGN</t>
  </si>
  <si>
    <t>Markings on the road - WHITE COLORS</t>
  </si>
  <si>
    <t>HORIZONTAL TRAFFIC SIGNALIZATION</t>
  </si>
  <si>
    <t>Markings on the road - YELLOW COLORS</t>
  </si>
  <si>
    <t>marking of the parking spot for disabled vehicles</t>
  </si>
  <si>
    <t>Markings on the road - BLUE COLORS</t>
  </si>
  <si>
    <t>Bus stop</t>
  </si>
  <si>
    <t>Quardrail</t>
  </si>
  <si>
    <t>Quardrail H4b-W6-B</t>
  </si>
  <si>
    <t>quardrial oblique lenght 4m</t>
  </si>
  <si>
    <t>round end</t>
  </si>
  <si>
    <t>Road equipment</t>
  </si>
  <si>
    <t>Light markings of travel objects</t>
  </si>
  <si>
    <t>a signboard for marking permanent obstacles within the clearance gauge of the free profile of the road 600h900mm</t>
  </si>
  <si>
    <t>LED light Ø 300mm on the top of the concrete bumper</t>
  </si>
  <si>
    <t>TOTAL HORIZONTAL TRAFFIC SIGNALIZATION :</t>
  </si>
  <si>
    <t>"katediopters"</t>
  </si>
  <si>
    <t>TOTAL VERTICAL TRAFFIC SIGNALIZATION:</t>
  </si>
  <si>
    <t>No.</t>
  </si>
  <si>
    <t>Title</t>
  </si>
  <si>
    <t>Estimated
Quantity</t>
  </si>
  <si>
    <t>Reference
Tech. Spec.</t>
  </si>
  <si>
    <t xml:space="preserve"> m</t>
  </si>
  <si>
    <t>SUMMARY ARCHITECTURAL AND CONSTRUCTION DESIGN</t>
  </si>
  <si>
    <t>ARCHITECTURAL AND CONSTRUCTION DESIGN</t>
  </si>
  <si>
    <t>L.s.</t>
  </si>
  <si>
    <t>2. CANOPY</t>
  </si>
  <si>
    <t>4а. and 4b.   TWO COMBINED CABINS no. 1.  (MOI and CA)</t>
  </si>
  <si>
    <t>TOTAL ALL 4а. and 4b. TWO COMBINED CABINS no. 1.:</t>
  </si>
  <si>
    <t>13. COMBINED CABIN NO.2 - AT THE EXIT (MI AND CA)</t>
  </si>
  <si>
    <t>14. COMBINED CABIN NO.3 - AT THE ENTRANCE (MI AND CA)</t>
  </si>
  <si>
    <t>15. CABIN NO.4 - AT THE ENTRANCE FROM THE TRUCK TERMINAL (MI)</t>
  </si>
  <si>
    <t>16. CABIN NO.5 - AT THE EXIT FROM THE TRUCK TERMINAL (CA)</t>
  </si>
  <si>
    <t xml:space="preserve">24a. WATER METER SHAFT </t>
  </si>
  <si>
    <t>24b. CHAMBER FOR PUMP AND 24v. WATER TANK</t>
  </si>
  <si>
    <t>24g. WELL CHAMBER</t>
  </si>
  <si>
    <t>GRAND SUMMARY</t>
  </si>
  <si>
    <t>BOOK 1 &amp; 2.1</t>
  </si>
  <si>
    <t>BOOK 2.2</t>
  </si>
  <si>
    <t>BOOK 3.1</t>
  </si>
  <si>
    <t>BOOK 3.2</t>
  </si>
  <si>
    <t>BOOK 3.3</t>
  </si>
  <si>
    <t>BOOK 4.1</t>
  </si>
  <si>
    <t>BOOK 5.1 &amp; 5.2</t>
  </si>
  <si>
    <t>BOOK 6</t>
  </si>
  <si>
    <t>BOOK 8</t>
  </si>
  <si>
    <t>TOTAL ARCHITECTURAL AND CONSTRUCTION DESIGN</t>
  </si>
  <si>
    <t>TOTAL TRAFFIC DESIGN:</t>
  </si>
  <si>
    <t>TOTAL SURFACE WATER SEWER 1- 6 :</t>
  </si>
  <si>
    <t>TOTAL TRAFFIC SIGNALIZATION AND EQUIPMENT</t>
  </si>
  <si>
    <t>GEODETIC WORK   TOTAL:</t>
  </si>
  <si>
    <t>EARTH WORKS TOTAL:</t>
  </si>
  <si>
    <t>GEODETIC WORKS TOTAL:</t>
  </si>
  <si>
    <t>GROUND WORKS TOTAL:</t>
  </si>
  <si>
    <t>CARPENTRY WORKS TOTAL:</t>
  </si>
  <si>
    <t>INSTALLATION WORKS TOTAL:</t>
  </si>
  <si>
    <t>CONCRETE WORKS TOTAL:</t>
  </si>
  <si>
    <t>OTHER WORKS TOTAL:</t>
  </si>
  <si>
    <t>SEWERAGE INSTALLATIONS TOTAL:</t>
  </si>
  <si>
    <t>MIA and CA TOTAL :</t>
  </si>
  <si>
    <t>CANOPY TOTAL:</t>
  </si>
  <si>
    <t>Recording of the executed object by the authorized geometer with the permission of a license of RGZ.</t>
  </si>
  <si>
    <t>4.4.1</t>
  </si>
  <si>
    <t>4.4.2</t>
  </si>
  <si>
    <t>4.5.2</t>
  </si>
  <si>
    <t>4.5.3</t>
  </si>
  <si>
    <t>4.5.4</t>
  </si>
  <si>
    <t>4.5.5</t>
  </si>
  <si>
    <t>4.5.6</t>
  </si>
  <si>
    <t>IV 	STEEL SHEET WORKS</t>
  </si>
  <si>
    <t>4.7.1</t>
  </si>
  <si>
    <t>4.7.2</t>
  </si>
  <si>
    <r>
      <t>m</t>
    </r>
    <r>
      <rPr>
        <vertAlign val="superscript"/>
        <sz val="10"/>
        <rFont val="Arial"/>
        <family val="2"/>
      </rPr>
      <t>3</t>
    </r>
  </si>
  <si>
    <t>Identification and marking of the underground cable route using a cable tracer.</t>
  </si>
  <si>
    <t>Delivery and installation of concrete shaft for cable sewage, type DO-1.</t>
  </si>
  <si>
    <t>Delivery and installation of concrete shaft for cable sewage, type PO-2.</t>
  </si>
  <si>
    <t>Delivery of sand and dismantling in the cable trench.</t>
  </si>
  <si>
    <t>Delivery and installation of red PVC pipes in cable trench.</t>
  </si>
  <si>
    <t>Delivery and installation of type carrier for three PVC pipes fi110mm.</t>
  </si>
  <si>
    <t>10</t>
  </si>
  <si>
    <t>Breaking of asphalt (concrete) surfaces by machine through the thickness of the layer up to 20 cm (the actual quantities are determined on the spot), with cleaning and bringing the route into the original condition.</t>
  </si>
  <si>
    <r>
      <t>m</t>
    </r>
    <r>
      <rPr>
        <vertAlign val="superscript"/>
        <sz val="10"/>
        <rFont val="Arial"/>
        <family val="2"/>
      </rPr>
      <t>2</t>
    </r>
  </si>
  <si>
    <t>11</t>
  </si>
  <si>
    <t>Delivery and installation of red PVC pipes fi 110 / 3,2mm for EE cables in under drilled passages.</t>
  </si>
  <si>
    <t>12</t>
  </si>
  <si>
    <t>Preparatory works for the needs of drilling under the roudway; -Application of the pit for setting up the drilling machine; - excavation of the cave on the second end of the exit of the under drilled passage</t>
  </si>
  <si>
    <t>13</t>
  </si>
  <si>
    <t>Drilling under the roadway and pedestrian crossings at the machine path at a depth of 1.4m.</t>
  </si>
  <si>
    <t>14</t>
  </si>
  <si>
    <t>Delivery and installation of cable markings according to the project and the needs of the terrain, together with the appropriate concrete columns.</t>
  </si>
  <si>
    <t>15</t>
  </si>
  <si>
    <t>16</t>
  </si>
  <si>
    <t>Cleaning the site, removing the excess land and shoving at the landfill within a radius of 10km, determined by the Investor.</t>
  </si>
  <si>
    <t>Delivery and installation of cables for air conditioning and ventilation system: 
The cables are placed on the wall beneath the mortar, through PVC pipes.</t>
  </si>
  <si>
    <t>PP00 5x6mm2 (for powering VRV S1) police</t>
  </si>
  <si>
    <t xml:space="preserve">Delivery and installation of the following lamp:S2 - ASTRA DO, BUCK, 17W, 2000lm, 4000K, CRI80 or equivalent.                         </t>
  </si>
  <si>
    <t>Delivery and installation of the following lamp:S3 - ORIEN CDP 2, BUCK, 38W, 3500lm, 4000K, CRI80 or equivalent.</t>
  </si>
  <si>
    <t>Delivery and installation of the following lamp:S4 - CENT, BUCK, 11W, 800lm, 4000K, CRI90, 60 or equivalent.</t>
  </si>
  <si>
    <t>Delivery and installation of the following lamp: PANIK P1.</t>
  </si>
  <si>
    <t>Delivery and installation of the following lamp: PANIK P2.</t>
  </si>
  <si>
    <t>Delivery and installation of the following lamp: PANIK P3.</t>
  </si>
  <si>
    <t>Delivery and installation of power cables type PP-Y 3x1.5mm2 on average 7m per luminaire</t>
  </si>
  <si>
    <t>Switches: Switches, 250V 10A, for installation in a wall with PVC box Ø 60mm, PRESTIGE LINE manufactured by ALING CONEL or suitable</t>
  </si>
  <si>
    <t>plain 10A</t>
  </si>
  <si>
    <t>alternating 10A</t>
  </si>
  <si>
    <t>Modular sockets, 220V, 16A: for wall mounting with PVC distribution box for responding module PRESTIGE LINE manufactured by ALING CONEL or corresponding</t>
  </si>
  <si>
    <t>7M (composition of the modular outlet 2 sockets, 2 RJ45)</t>
  </si>
  <si>
    <t>4M (composition of the modular outlet 2 sockets)</t>
  </si>
  <si>
    <t>3M (composition of the modular outlet 1 socket outlet, 1 RJ45)</t>
  </si>
  <si>
    <t>Delivery and installation of power cables type PP-Y 3x2.5mm2, average 12m per socket</t>
  </si>
  <si>
    <t>17</t>
  </si>
  <si>
    <t>18</t>
  </si>
  <si>
    <t>Delivery and installation of galvanized FeZn 25x4mm strip with excavation, cut pieces, digging and rises up to 1.5m above the ground (part of the lightning protection system).</t>
  </si>
  <si>
    <t>Delivery and installation of galvanized strip FeZn 20h3mm spacer system with spacers (part of the lightning protection system).</t>
  </si>
  <si>
    <t>20</t>
  </si>
  <si>
    <t>Small unspecified mounting material.</t>
  </si>
  <si>
    <t>Control manual excavation, so-called. "slipping", 0.4m wide, 2m long, depths up to 1m, for the exact positioning of the installations.</t>
  </si>
  <si>
    <t>Excavation of caves for foundations of given dimensions in meters. Calculation after the excavated cave.</t>
  </si>
  <si>
    <t>up to 1.1x1.1x1.4</t>
  </si>
  <si>
    <t>Construction of concrete foundation, dim 0,7x0,7x1,1m.</t>
  </si>
  <si>
    <t>Lifting and installation of a galvanized tubular pillar.</t>
  </si>
  <si>
    <t>width of the trench 0.4m</t>
  </si>
  <si>
    <t>Papers on the implementation of measures of equalization of electrical potential. This implies the joining of all metal masses, which in normal operation are not under voltage (pipes, metal parts of shafts, pedestrian bridge railings, traffic protective reflective fences ...) using star-studded washers in a unique galvanic whole with a basic public lighting. Kit with all necessary material, with cut pieces, Cu rope 25mm2 with an average length of 3m and a 25x4mm band with an average length of 2m for connecting the covers of the shafts, the bridge railings and other masses. Calculation at the stairwell.</t>
  </si>
  <si>
    <t>Mounting the cable clamp. Calculation per piece.</t>
  </si>
  <si>
    <t>PKS  50 Al</t>
  </si>
  <si>
    <t>PKS  150 Al</t>
  </si>
  <si>
    <t>Mounting the luminaires with the appropriate light bulbs to the height of up to 10 m (top or console). A kit with making the necessary connections, and calculating the lamp.</t>
  </si>
  <si>
    <t>Making connections between fuses and luminaires in candelabra pillars, PP00-Y cable. Account after bond.</t>
  </si>
  <si>
    <t>PP00 - Y 4x1,5mm2/12m</t>
  </si>
  <si>
    <t>Cleaning of construction sites during construction; removal and disposal of all of the surplus of land and shield to a legal landfill in the territory of the City.</t>
  </si>
  <si>
    <t>Payment of the cost of mapping to the Republic Geodetic Authority.
Calculation per meter of cable.</t>
  </si>
  <si>
    <t>Placing the cable markings according to the situation and needs on the ground. Calculation per piece.</t>
  </si>
  <si>
    <t xml:space="preserve">Sand dismantling in cable trench or on the route.
</t>
  </si>
  <si>
    <t>Gravel or rifle access and dismantling into cable ropes or concrete pit pit.</t>
  </si>
  <si>
    <t>Attestation of soil compaction</t>
  </si>
  <si>
    <t>electrical attestation</t>
  </si>
  <si>
    <t>photometric measured lights at budget parking points.</t>
  </si>
  <si>
    <t>21</t>
  </si>
  <si>
    <t>Delivery and installation of  lighting column.</t>
  </si>
  <si>
    <t>22</t>
  </si>
  <si>
    <t>AMPERA MAXI 128LEDs @ 700mA / NW / 5117 / 279W or suitable for access roads and parking lots.</t>
  </si>
  <si>
    <t>OMNISTAR 144LEDs @ 700mA / NW / 5139 / 314W or suitable for access roads and parking spaces with carrier, with connector on cable l = 0.8m and switchgear in the cabinet</t>
  </si>
  <si>
    <t>24</t>
  </si>
  <si>
    <t>Standard Lamp Carrier: OMNISTAR 144LEDs @ 700mA / NW / 5139 / 314W with pillar clip fi60</t>
  </si>
  <si>
    <t>25</t>
  </si>
  <si>
    <t>Delivery and installation of the lamp: GL2 Compact 5 96LEDs @ 700mA / NW / 5098 / Symmetrical / 213W or suitable for roofs</t>
  </si>
  <si>
    <t>26</t>
  </si>
  <si>
    <t>Delivering, laying and connecting cables for illumination of access roads and parking. The cables are laid through PVC pipes that are laid in a previously excavated cable trunk.
PP00-Y 5х6мм2</t>
  </si>
  <si>
    <t>27</t>
  </si>
  <si>
    <t>Delivery, laying and connecting cables for roofing lighting:
PP00-Y 3x2.5mm2, 7m per luminaire</t>
  </si>
  <si>
    <t>28</t>
  </si>
  <si>
    <t>29</t>
  </si>
  <si>
    <t>Delivering and connecting the power cable to the ramp. The cable is of type PP00-Y 3x2,5mm2. an average length of 20m per ramp</t>
  </si>
  <si>
    <t>30</t>
  </si>
  <si>
    <t>CABLE SEWAGE</t>
  </si>
  <si>
    <t>EXTERNAL LIGHT</t>
  </si>
  <si>
    <t>FINISHING WORKS</t>
  </si>
  <si>
    <t>a) pavement</t>
  </si>
  <si>
    <t>b) concrete</t>
  </si>
  <si>
    <t>TOTAL EXTERNAL LIGHT</t>
  </si>
  <si>
    <t>TOTAL   PREPARATION WORKS:</t>
  </si>
  <si>
    <t>TOTAL   POLICE AND CUSTOMS OBJECTS:</t>
  </si>
  <si>
    <t>TOTAL FINISHING WORKS:</t>
  </si>
  <si>
    <t>SUMMARY TRAFFIC DESIGN</t>
  </si>
  <si>
    <t>SUMMARY WATER SUPPLY</t>
  </si>
  <si>
    <t>SUMMARY SEWERAGE INSTALLATIONS</t>
  </si>
  <si>
    <t>SUMMARY ATMOSPHERIC CANALIZATION</t>
  </si>
  <si>
    <t>SUMMARY ELECTRIC INSTALLATION DESIGN</t>
  </si>
  <si>
    <t>TOTAL ELECTRIC INSTALLATION DESIGN:</t>
  </si>
  <si>
    <t>I PREPARATION WORKS</t>
  </si>
  <si>
    <t>III POLICE AND CUSTOMS OBJECTS</t>
  </si>
  <si>
    <t>POLICE AND CUSTOMS OBJECTS</t>
  </si>
  <si>
    <t>GL2 Compact 5 96LEDs @700mA/NW/5098/Symmetrical/213W, Hsr=7.7m</t>
  </si>
  <si>
    <t>Finishing works</t>
  </si>
  <si>
    <t>Delivery and installation of distribution board RT-KK</t>
  </si>
  <si>
    <t>Delivery and installation of distribution cabinet GRO-MUP</t>
  </si>
  <si>
    <t>Delivery and installation of the distribution cabinet GRO-UC</t>
  </si>
  <si>
    <t xml:space="preserve">Geometric marking of the cable trunk route. </t>
  </si>
  <si>
    <t xml:space="preserve">Control excavation ("stitching") to determine the exact position of existing installations. The frame dimensions of the control trench are: width 0,4m, depth 1 - 1,2m, and length 2-3m. </t>
  </si>
  <si>
    <t xml:space="preserve">Recording of the route of laid cables with the production of the catastre of the derived state. </t>
  </si>
  <si>
    <t xml:space="preserve">Geometric marking of cable route and position of candelabra pillars. </t>
  </si>
  <si>
    <t xml:space="preserve">Making of the connection of the pillar and the ground </t>
  </si>
  <si>
    <t>Mechanical (and if necessary manual) excavation of a depth of 1,0 m in the green area, under the pedestrian paths and parking, or 1,4 m below the road</t>
  </si>
  <si>
    <t>Laying, in already excavated hollow at a depth of 90cm, galvanized steel strips Fe-Zn 30x4mm, SRPS N.B4.901, in a bed of fine earth 0.1m thick</t>
  </si>
  <si>
    <t xml:space="preserve">During the laying of cables and PVC pipes (before trenching), the tracking of laid cables, protective pipes and public lighting columns with the creation of a cadastre of the created state is recorded. </t>
  </si>
  <si>
    <t xml:space="preserve">During excavation of the trench and pillar pit, loading the excavation directly into the truck or first into the trolley, then into the truck. Kit with removal and unloading at the city landfill (the organization at the landfill is the obligation of the contractor). </t>
  </si>
  <si>
    <t xml:space="preserve">Testing cables, other conductors, and connections in the installation. </t>
  </si>
  <si>
    <t xml:space="preserve">Delivery and installation of automatic road ramp, length 4m, for restricting and controlling access to the vehicle. </t>
  </si>
  <si>
    <t>Delivery and installation of cables</t>
  </si>
  <si>
    <t>JH (St) H 2x2x0.8mm 2</t>
  </si>
  <si>
    <t>m.</t>
  </si>
  <si>
    <t>JE-H (St) H FE180 / E30 2x2x0.8mm2</t>
  </si>
  <si>
    <t>NHXHX 3x1.5mm2</t>
  </si>
  <si>
    <t>UTP cat7</t>
  </si>
  <si>
    <t>Cable S / FTP cat.6а LCOH (halogen free)</t>
  </si>
  <si>
    <t>Cable with 8 one-piece fashionable fibers 9/125</t>
  </si>
  <si>
    <t>Making a project of a performed object.</t>
  </si>
  <si>
    <t>Microprocessor addressable fire alarm system (central unit).</t>
  </si>
  <si>
    <t>Rechargeable battery 7Ah</t>
  </si>
  <si>
    <t>Addressable smoke detector, type 1.</t>
  </si>
  <si>
    <t>Addressable smoke detector, type 2.</t>
  </si>
  <si>
    <t>Addressable manual fire alarm taster.</t>
  </si>
  <si>
    <t>Mount for addressable automatic detector.</t>
  </si>
  <si>
    <t>I / O Addressable control / control module type A50E-2 or suitable.</t>
  </si>
  <si>
    <t xml:space="preserve">Alarm siren for indoor installation. </t>
  </si>
  <si>
    <t xml:space="preserve">Alarm siren for outdoor installation. </t>
  </si>
  <si>
    <t>Small unspecified mounting material</t>
  </si>
  <si>
    <t>Rack cabinet.</t>
  </si>
  <si>
    <t>CABLE DISTRIBUTION</t>
  </si>
  <si>
    <t>FIRE AND SIGNAL INSTALLATION</t>
  </si>
  <si>
    <t>NETWORK</t>
  </si>
  <si>
    <t>TOTAL CABLE DISTRIBUTION</t>
  </si>
  <si>
    <t>TOTAL FIRE AND SIGNAL INSTALLATION</t>
  </si>
  <si>
    <t>TOTAL NETWORK</t>
  </si>
  <si>
    <t>I CABLE DISTRIBUTION</t>
  </si>
  <si>
    <t>II FIRE AND SIGNAL INSTALLATION</t>
  </si>
  <si>
    <t>III NETWORK</t>
  </si>
  <si>
    <t>SUMMARY TELECOMMUNICATION AND SIGNAL INSTALLATION DESIGN</t>
  </si>
  <si>
    <t>TOTAL TELECOMMUNICATION AND SIGNAL INSTALLATION DESIGN:</t>
  </si>
  <si>
    <t>Commissioning</t>
  </si>
  <si>
    <t>I GEODETIC WORKS</t>
  </si>
  <si>
    <t>II EARTH WORKS</t>
  </si>
  <si>
    <t>III TIMBER WORKS</t>
  </si>
  <si>
    <t>IV ASSEMBLY WORKS</t>
  </si>
  <si>
    <t>V CONCRETE WORKS</t>
  </si>
  <si>
    <t>VI MISCELLANEOUS WORKS</t>
  </si>
  <si>
    <r>
      <t xml:space="preserve">I </t>
    </r>
    <r>
      <rPr>
        <b/>
        <sz val="12"/>
        <rFont val="Times New Roman"/>
        <family val="1"/>
        <charset val="238"/>
      </rPr>
      <t>EXTERNAL SEWERAGE</t>
    </r>
  </si>
  <si>
    <r>
      <t xml:space="preserve">II </t>
    </r>
    <r>
      <rPr>
        <b/>
        <sz val="12"/>
        <rFont val="Times New Roman"/>
        <family val="1"/>
        <charset val="1"/>
      </rPr>
      <t>INTERNAL SEWERAGE</t>
    </r>
  </si>
  <si>
    <t>IV OTHER WORKS</t>
  </si>
  <si>
    <t>III PAVEMENT STRUCTURE</t>
  </si>
  <si>
    <t>II EARTHWORKS</t>
  </si>
  <si>
    <t>I PRELIMINARY WORKS</t>
  </si>
  <si>
    <t>CONSTRUCTION OF BORDER CROSSING POINT (BCP) KOTROMAN</t>
  </si>
  <si>
    <t>Date:</t>
  </si>
  <si>
    <t>Revision:</t>
  </si>
  <si>
    <t>TENDER PRICE - GRAND TOTAL (excl. VAT and other taxes)</t>
  </si>
  <si>
    <t>TENDER PRICE (exclusive VAT and other taxes):</t>
  </si>
  <si>
    <t>Discount</t>
  </si>
  <si>
    <t>Enter discount in % here:</t>
  </si>
  <si>
    <t>4a. AND 4b. COMBINED CABIN NO.1 (MIA AND CA)</t>
  </si>
  <si>
    <t>EXTERNAL WATER  SEWERAGE</t>
  </si>
  <si>
    <t>INTERNAL WATER SEWERAGE</t>
  </si>
  <si>
    <t>I - BOOK 1 &amp; 2.1</t>
  </si>
  <si>
    <t>II - BOOK 2.2</t>
  </si>
  <si>
    <t>III - BOOK 3.1</t>
  </si>
  <si>
    <t>TRAFFIC/ROAD WORKS</t>
  </si>
  <si>
    <r>
      <t xml:space="preserve">I - </t>
    </r>
    <r>
      <rPr>
        <b/>
        <sz val="12"/>
        <rFont val="Times New Roman"/>
        <family val="1"/>
        <charset val="238"/>
      </rPr>
      <t>EXTERNAL WATER SUPPLY</t>
    </r>
  </si>
  <si>
    <r>
      <t xml:space="preserve">II - </t>
    </r>
    <r>
      <rPr>
        <b/>
        <sz val="12"/>
        <rFont val="Times New Roman"/>
        <family val="1"/>
      </rPr>
      <t>INTERNAL WATER SUPPLY</t>
    </r>
  </si>
  <si>
    <t>WELL STRUCTURE AND DESIGN GEOLOGICAL</t>
  </si>
  <si>
    <t>DESIGN GEOLOGICAL</t>
  </si>
  <si>
    <t>III - WELL STRUCTURE AND DESIGN GEOLOGICAL</t>
  </si>
  <si>
    <t>1. MIA AND CA (Ministry of Interior and Customs Administration Office)</t>
  </si>
  <si>
    <t>Purchase, transport and making of "Knauf" or "equivalent" wall cover or equivalent. Partition cover is with single metal substructure made of galvanized steel CW and UW profiles 75 mm.</t>
  </si>
  <si>
    <t xml:space="preserve">Purchase, transport of materials and installation of "Knauf W626" or "equivalent" wall lining. </t>
  </si>
  <si>
    <t>with standard construction gypsum panels GKB1 1x12.5 mm, type A13 or "equivalent"</t>
  </si>
  <si>
    <t>with Knauf or "equivalent" impregnated-waterproof	 gypsum panels type H13 (GKB</t>
  </si>
  <si>
    <t>Purchase, transport of materials and installation of "Knauf" or "equivalent" partition wall.</t>
  </si>
  <si>
    <t>Total thickness 125mm, double layer coated on both sides "Knauf" or "equivalent" by standard construction gypsum panels type A (GKBI) thickness 25 mm. Insulation layer made of mineral wool "Knauf Insulation TI 140" or "equivalent", 75 mm.</t>
  </si>
  <si>
    <t>Total thickness 150mm, double layer coated on both sides "Knauf" or "equivalent" by standard construction gypsum panels type A (GKBI) thickness 25 mm. Insulation layer made of mineral wool "Knauf Insulation TI 140" or "equivalent", 100mm.</t>
  </si>
  <si>
    <t>Total thickness 125 mm, double-coated on both sides by "Knauf" or "equivalent". Wall is formed by mounting double impregnated-waterproof construction gypsum panel type A (GKBI H13 2x12,5mm) on both sides, towards the wet rooms. Insulation layer made of mineral wool "Knauf Insulation TI 140" or "equivalent", 75 mm.</t>
  </si>
  <si>
    <t>"Knauf fire resistant F90 or equivalent".</t>
  </si>
  <si>
    <t>Purchase, transport of materials and installation of "Knauf W112" or "equivalent" partition wall or equivalent. Partition wall is with single metal substructure made of galvanized steel CW and UW profiles 100 mm.</t>
  </si>
  <si>
    <t>[EUR]</t>
  </si>
  <si>
    <t>Maintenance of traffic for time of execution of works</t>
  </si>
  <si>
    <t xml:space="preserve">	WATER SUPPLY INSTALLATNIO</t>
  </si>
  <si>
    <t>Water Supply and Installation</t>
  </si>
  <si>
    <t>WATER SUPPLY AND INSTALLATION</t>
  </si>
  <si>
    <t>TOTAL EXTERNAL SEWERAGE SYSTEM:</t>
  </si>
  <si>
    <t>EXTERNAL SEWERAGE SYSTEM</t>
  </si>
  <si>
    <t>External Sewerage System</t>
  </si>
  <si>
    <t>Making the trench bottom flat</t>
  </si>
  <si>
    <t>ATMOSPHERIC CANALIZATION (SURFACE WATER SEWERAGE)</t>
  </si>
  <si>
    <t>Electric installation</t>
  </si>
  <si>
    <t>Traffic / Road works</t>
  </si>
  <si>
    <t>Architectural and Construction works</t>
  </si>
  <si>
    <t>Telecommunication and signal installation</t>
  </si>
  <si>
    <t>Traffic and traffic signaling</t>
  </si>
  <si>
    <t>Atmospheric Sewerage System</t>
  </si>
  <si>
    <t>IV - BOOK 3.2</t>
  </si>
  <si>
    <t>V - BOOK 3.3</t>
  </si>
  <si>
    <t>ELECTRIC INSTALLATION</t>
  </si>
  <si>
    <t>VI - BOOK 4.1</t>
  </si>
  <si>
    <t>II CABLE ROUTE</t>
  </si>
  <si>
    <t>Excavation of cable trench.</t>
  </si>
  <si>
    <t>TOTAL CABLE ROUTE:</t>
  </si>
  <si>
    <t>Delivery and installation of the following lamp: S1 - ARCO DLM 2, BUCK, 33W, 4000lm, 4000K, CRI80 or equivalent.</t>
  </si>
  <si>
    <t>Provisional Sum for Substation 1000 kVA, 10/04 kV</t>
  </si>
  <si>
    <t>TELECOMMUNICATION AND SIGNAL INSTALLATION</t>
  </si>
  <si>
    <t>VII - BOOK 5.1 &amp; 5.2</t>
  </si>
  <si>
    <t>HVAC Systems installation</t>
  </si>
  <si>
    <t>VIII - BOOK 6</t>
  </si>
  <si>
    <t>HVAC SYSTEMS INSTALLATION</t>
  </si>
  <si>
    <t>IX - BOOK 8</t>
  </si>
  <si>
    <t>SIGNAL OF THE GROUP I</t>
  </si>
  <si>
    <t>Preparation Works</t>
  </si>
  <si>
    <t xml:space="preserve">PP00-Y 5х6 mm2 </t>
  </si>
  <si>
    <t>PP00-A 4х150 mm2</t>
  </si>
  <si>
    <t xml:space="preserve">PP00 5х4 mm2 </t>
  </si>
  <si>
    <t>Power cables. Cables are laid through PVC pipes Φ 110mm that are laid in a previously excavated cable trench.</t>
  </si>
  <si>
    <t xml:space="preserve">PP00 3х2.5 mm2 </t>
  </si>
  <si>
    <t>V CABLE SEWAGE</t>
  </si>
  <si>
    <t>Excavation of cable trenche.</t>
  </si>
  <si>
    <t>Delivery and installation of yellow PVC pipes in cable trench.</t>
  </si>
  <si>
    <t>Delivery and installation of yellow PVC pipes fi 110 / 3,2mm for TKM cables in under drilled passages.</t>
  </si>
  <si>
    <t>Recording of the route of laid cables with the production of the catastre of the derived state. The record is submitted to the investor at the end of the works - before the completion of the finished situation, in paper and digital form on a CD in ACAD - "* .DWG" format (with a table of absolute coordinates of the breakpoints of the cable trace). This clip is the basis for the final billing. Calculation per meter of cable length.</t>
  </si>
  <si>
    <t>TOTAL CABLE SEWAGE</t>
  </si>
  <si>
    <t>Geometric marking of the cable trunk route.</t>
  </si>
  <si>
    <t>Control excavation ("stitching") to determine the exact position of existing installations.</t>
  </si>
  <si>
    <t xml:space="preserve">Delivery and installation the outdoor unit of air conditioning system with freon variable flow (VRV) type: </t>
  </si>
  <si>
    <t xml:space="preserve"> - MDV-280(10W/DRN1(B), Qc/Qh=28/31.5 kW or equivalent</t>
  </si>
  <si>
    <t xml:space="preserve">Delivery and installation indoor unit of air conditioning system with freon variable flow (VRV) ceilling model, type: </t>
  </si>
  <si>
    <t xml:space="preserve"> - MDV-D28Q4, Qc/Qh=2.8/3.2 kW or equivalent</t>
  </si>
  <si>
    <t xml:space="preserve">Delivery and installation indoor unit of air conditioning system with freon variable flow (VRV) parapet model, type: </t>
  </si>
  <si>
    <t xml:space="preserve"> - MDV-D36D, Qc/Qh=3.6/4.0 kW or equivalent</t>
  </si>
  <si>
    <t>Delivery and installation copper branch, type:</t>
  </si>
  <si>
    <t xml:space="preserve"> - FQZHN-01 or equivalent</t>
  </si>
  <si>
    <t xml:space="preserve"> - FQZHN-02 or equivalent</t>
  </si>
  <si>
    <t xml:space="preserve"> - FQZHN-03 or equivalent</t>
  </si>
  <si>
    <t>Auxilary material for the production of a freon installation (knees, muffs, fastening materials, electrodes, nitrogen, etc.) 50% of item 14 and 15.</t>
  </si>
  <si>
    <t xml:space="preserve">Testing the freon installationon the strengthand leakproofness of nitrogen or compressed air. Calculation by air conditiong system. </t>
  </si>
  <si>
    <t>Following the fittings for the condensate installation (knees, "T" pieces, cuts, gloves, ...), 50% of previous item.</t>
  </si>
  <si>
    <t>Breaking outer and inner walls and the floor joists for passage of freon and condensat pipes. The price includes the closing of the holes as well as the watertightness (waterproofing) of the holes.</t>
  </si>
  <si>
    <t>Delivery and installation "split" inverter system (1 on 1) with outdoor/indoor-cassette unit type: MOU-18HDN1-Q/MDV-18HRN1-Q, Qc/Qh=5.6/6.14kW or equivalent (with connection to the indoor unit)</t>
  </si>
  <si>
    <t>Delivery and installation "split" inverter system (1 on 1) with outdoor/indoor-wall unit type: MS12FU-12HRFN1-QRD0GW(F8), Qc/Qh=1.29-4.45/1.2-4.87kW or equivalent (with connection to the indoor unit)</t>
  </si>
  <si>
    <t>Delivery and installation electric radiator type: Beha or equivalent, white (RAL9010) :</t>
  </si>
  <si>
    <t xml:space="preserve"> - dim. 400 x 1175, power 1.500W</t>
  </si>
  <si>
    <t xml:space="preserve"> - dim. 400 x 927, power 1.250W</t>
  </si>
  <si>
    <t xml:space="preserve"> - dim. 400 x 803, power 1.000W</t>
  </si>
  <si>
    <t xml:space="preserve"> - dim. 400 x 679, power 800W</t>
  </si>
  <si>
    <t xml:space="preserve"> - dim. 400 x 555, power 600W</t>
  </si>
  <si>
    <t xml:space="preserve"> - dim. 400 x 431, power 400W</t>
  </si>
  <si>
    <t>STANDARD VERTIKAL TRAFFIC SIGNALIZATION</t>
  </si>
  <si>
    <t>Triangular  A=90 cm</t>
  </si>
  <si>
    <t>I-19</t>
  </si>
  <si>
    <t>piece</t>
  </si>
  <si>
    <t>I-25</t>
  </si>
  <si>
    <t>II-1</t>
  </si>
  <si>
    <r>
      <t xml:space="preserve">Circular </t>
    </r>
    <r>
      <rPr>
        <sz val="8"/>
        <rFont val="Symbol"/>
        <family val="1"/>
        <charset val="2"/>
      </rPr>
      <t>f</t>
    </r>
    <r>
      <rPr>
        <sz val="8"/>
        <rFont val="Arial"/>
        <family val="2"/>
      </rPr>
      <t>60 cm</t>
    </r>
  </si>
  <si>
    <t>II - 43.1</t>
  </si>
  <si>
    <t>III - 17</t>
  </si>
  <si>
    <t>Rectangle     90/25cm(400m)</t>
  </si>
  <si>
    <t>IV - 1</t>
  </si>
  <si>
    <t>Single pillar ф 60 mm</t>
  </si>
  <si>
    <t>2,5 m</t>
  </si>
  <si>
    <t>3,4m</t>
  </si>
  <si>
    <t>3.5m</t>
  </si>
  <si>
    <t>3.8m</t>
  </si>
  <si>
    <t>VERTICAL TRAFFIC SIGNALIZATION TOTAL:</t>
  </si>
  <si>
    <t>New Jersey fence VI-6.1</t>
  </si>
  <si>
    <t>Horizontal barrier VII-2</t>
  </si>
  <si>
    <t>TS - 7</t>
  </si>
  <si>
    <t>The post traffic sign</t>
  </si>
  <si>
    <t>ROAD EQUIPMENT TOTAL:</t>
  </si>
  <si>
    <t>TOTAL TRAFFIC SIGNALIZATION DURING CONSTRUCTION</t>
  </si>
  <si>
    <t>ROAD EQUIPMENT</t>
  </si>
  <si>
    <t>Bill no.</t>
  </si>
  <si>
    <t>Description</t>
  </si>
  <si>
    <t>TRAFFIC SIGNALIZATION DURING CONSTRUCTION</t>
  </si>
  <si>
    <t>I - VERTICAL TRAFFIC SIGNALIZATION</t>
  </si>
  <si>
    <t>Unit price EUR</t>
  </si>
  <si>
    <t>Amount
EUR</t>
  </si>
  <si>
    <t>Unit price
EUR</t>
  </si>
  <si>
    <t>Ref. Book</t>
  </si>
  <si>
    <t>SUB-TOTAL incl. PS for SUBSTATION:</t>
  </si>
  <si>
    <t>SUB-TOTAL incl. DISCOUNT:</t>
  </si>
  <si>
    <t>Provisional Sum for Contingency Allowance (10%)</t>
  </si>
  <si>
    <t xml:space="preserve">Treatment of the subgrade consists of the design of the bed at projected angles and complementary compaction across the entire width of the plain to the required compaction. </t>
  </si>
  <si>
    <t>3.2, 3.14</t>
  </si>
  <si>
    <t>4.1.2</t>
  </si>
  <si>
    <r>
      <rPr>
        <sz val="12"/>
        <color indexed="8"/>
        <rFont val="Times New Roman"/>
        <family val="1"/>
      </rPr>
      <t>3.19</t>
    </r>
    <r>
      <rPr>
        <sz val="12"/>
        <color theme="0"/>
        <rFont val="Times New Roman"/>
        <family val="1"/>
      </rPr>
      <t>,</t>
    </r>
  </si>
  <si>
    <t>4.1.3</t>
  </si>
  <si>
    <r>
      <t>3.20</t>
    </r>
    <r>
      <rPr>
        <sz val="12"/>
        <color theme="0"/>
        <rFont val="Times New Roman"/>
        <family val="1"/>
      </rPr>
      <t>,</t>
    </r>
  </si>
  <si>
    <t>XIV</t>
  </si>
  <si>
    <t>XIV VARIOUS WORKS</t>
  </si>
  <si>
    <t>4.1.4</t>
  </si>
  <si>
    <t>4.1.5</t>
  </si>
  <si>
    <t>IV VARIOUS WORKS</t>
  </si>
  <si>
    <t>4.1.6</t>
  </si>
  <si>
    <t>4.1.7</t>
  </si>
  <si>
    <t>4.1.8</t>
  </si>
  <si>
    <t>4.1.9</t>
  </si>
  <si>
    <t>4.1.10</t>
  </si>
  <si>
    <t>4.1.11</t>
  </si>
  <si>
    <t>4.1.12</t>
  </si>
  <si>
    <t>4.1.13</t>
  </si>
  <si>
    <t>4.1.14</t>
  </si>
  <si>
    <t>4.2.2</t>
  </si>
  <si>
    <t>4.2.3</t>
  </si>
  <si>
    <r>
      <t>3.22</t>
    </r>
    <r>
      <rPr>
        <sz val="12"/>
        <color theme="0"/>
        <rFont val="Times New Roman"/>
        <family val="1"/>
      </rPr>
      <t>,</t>
    </r>
  </si>
  <si>
    <t>4.3.1</t>
  </si>
  <si>
    <t>4.3.2</t>
  </si>
  <si>
    <t>4.3.3</t>
  </si>
  <si>
    <t>4.6.1</t>
  </si>
  <si>
    <t>4.6.2</t>
  </si>
  <si>
    <t>4.6.3</t>
  </si>
  <si>
    <t>4.6.4</t>
  </si>
  <si>
    <t>4.6.6</t>
  </si>
  <si>
    <r>
      <t xml:space="preserve">II - HORIZONTAL TRAFFIC SIGNALIZATION </t>
    </r>
    <r>
      <rPr>
        <sz val="12"/>
        <rFont val="Times New Roman"/>
        <family val="1"/>
      </rPr>
      <t>Ref.3.24</t>
    </r>
  </si>
  <si>
    <r>
      <t xml:space="preserve">III - TRAFFIC SIGNALIZATION DURING CONSTRUCTION </t>
    </r>
    <r>
      <rPr>
        <sz val="12"/>
        <rFont val="Times New Roman"/>
        <family val="1"/>
      </rPr>
      <t>Ref.3.24</t>
    </r>
  </si>
  <si>
    <r>
      <t>3.19</t>
    </r>
    <r>
      <rPr>
        <sz val="12"/>
        <color theme="0"/>
        <rFont val="Times New Roman"/>
        <family val="1"/>
      </rPr>
      <t>,</t>
    </r>
  </si>
  <si>
    <r>
      <t>3.30</t>
    </r>
    <r>
      <rPr>
        <sz val="12"/>
        <color theme="0"/>
        <rFont val="Times New Roman"/>
        <family val="1"/>
      </rPr>
      <t>,</t>
    </r>
  </si>
  <si>
    <r>
      <t>3.29</t>
    </r>
    <r>
      <rPr>
        <sz val="12"/>
        <color theme="0"/>
        <rFont val="Times New Roman"/>
        <family val="1"/>
      </rPr>
      <t>,</t>
    </r>
  </si>
  <si>
    <r>
      <t>3.32</t>
    </r>
    <r>
      <rPr>
        <sz val="12"/>
        <color theme="3" tint="0.59999389629810485"/>
        <rFont val="Times New Roman"/>
        <family val="1"/>
      </rPr>
      <t>,</t>
    </r>
  </si>
  <si>
    <t>4.2.1</t>
  </si>
  <si>
    <t>4.7</t>
  </si>
  <si>
    <t>3.31</t>
  </si>
  <si>
    <t>Technical Specifications Ref.3.24</t>
  </si>
  <si>
    <t>mths</t>
  </si>
  <si>
    <t>Rental of containers for Supervisor's office</t>
  </si>
  <si>
    <t xml:space="preserve">Purchase, transport and mounting or rental container for offices, container dimensions cca 6,00/2,40, on a previously prepared base. </t>
  </si>
  <si>
    <t xml:space="preserve">As- built Documentation/Drawings and Operation and Maintenance Manuals </t>
  </si>
  <si>
    <t>As- built Documentation</t>
  </si>
  <si>
    <t>Visibility panel</t>
  </si>
  <si>
    <t xml:space="preserve">The Visibility Panel shall be prepared in accordance with the "Communication and Visibility Manual for EU External Actions"  </t>
  </si>
  <si>
    <t>3.5</t>
  </si>
  <si>
    <t>Quality Assurance Plan</t>
  </si>
  <si>
    <t>A comprehensive Quality Assurance Plan, approved by the Supervisor</t>
  </si>
  <si>
    <t>Health and Safety Plan</t>
  </si>
  <si>
    <t>Setting up a H&amp;S procedure for all works in acc. to the Official Gazette of the Republic of Serbia no. 101/2005</t>
  </si>
  <si>
    <t>3.13.2</t>
  </si>
  <si>
    <t>2.7.1</t>
  </si>
  <si>
    <t>3.3.</t>
  </si>
  <si>
    <t>3.4.</t>
  </si>
  <si>
    <t>3.5.</t>
  </si>
  <si>
    <t>4.2.</t>
  </si>
  <si>
    <t>VI EXTERNAL LIGHT</t>
  </si>
  <si>
    <t>VIII FINISHING WORKS</t>
  </si>
  <si>
    <t>set</t>
  </si>
  <si>
    <t xml:space="preserve">Delivery and installation copper tubes, hard or semi-solid, in bars or bundles, dimensions:
</t>
  </si>
  <si>
    <t>Auxilary material for the production of a freon installation (knees, muffs, fastening materials, electrodes, nitrogen, etc.) 50% of previous item.</t>
  </si>
  <si>
    <t>Vacuuming freon instalation with freon addition. The quantity of the added freon should be controlled by an electronic scale that should be in accordance with the technical recommendations of the equipment manufacturer. Calculation by air conditioning system.</t>
  </si>
  <si>
    <t xml:space="preserve"> - MDV-D36Q4, Qc/Qh=3.6/4.0 kW or equivalent</t>
  </si>
  <si>
    <t xml:space="preserve">Delivery and installation ventilation system of cabins for maintenance of overpressure and prevention of carbon monoxide penetration into cabins which includs: duct air distribution, duct fans VKM100, duct heater 3kW, exit elements - aero valve 160, sensors, non-return duct valve F160, rain gut BN200x200, mineral wool in Al-lime wrap 0.8mm, auxillary mounting material. </t>
  </si>
  <si>
    <t xml:space="preserve">Delivery and installation ventilation room P-13 on the ground floor of object MUP and UC which includs: aero valve Ø100 in room, duct air distribution from galvanized sheet connected on exit-air element with flexible non-isolatin hole Ø100, duct fan type: Decor100,  rain gut BN200x200, grille EX 200x100,  auxillary mounting material. </t>
  </si>
  <si>
    <t xml:space="preserve">Introduction to the Project and facility, internal transport, installation of scaffolding, all testing, regulating and precommissioning with training performed by the Investitor's staff, puting up signage, site clearance, quality taking-over with handing certificates, diagrams and written instructions for operation and maintenance. </t>
  </si>
  <si>
    <r>
      <t xml:space="preserve"> - </t>
    </r>
    <r>
      <rPr>
        <sz val="12"/>
        <color theme="1"/>
        <rFont val="Calibri"/>
        <family val="2"/>
        <scheme val="minor"/>
      </rPr>
      <t xml:space="preserve">Ø </t>
    </r>
    <r>
      <rPr>
        <sz val="12"/>
        <rFont val="Arial"/>
        <family val="2"/>
      </rPr>
      <t>6.35 mm</t>
    </r>
  </si>
  <si>
    <r>
      <t xml:space="preserve"> - </t>
    </r>
    <r>
      <rPr>
        <sz val="12"/>
        <color theme="1"/>
        <rFont val="Calibri"/>
        <family val="2"/>
        <scheme val="minor"/>
      </rPr>
      <t>Ø 9</t>
    </r>
    <r>
      <rPr>
        <sz val="12"/>
        <rFont val="Arial"/>
        <family val="2"/>
      </rPr>
      <t>.53 mm</t>
    </r>
  </si>
  <si>
    <r>
      <t>Delivery and installation isolation, self-extinguishing, with steam barrier</t>
    </r>
    <r>
      <rPr>
        <sz val="12"/>
        <color indexed="10"/>
        <rFont val="Arial"/>
        <family val="2"/>
      </rPr>
      <t xml:space="preserve">, </t>
    </r>
    <r>
      <rPr>
        <sz val="12"/>
        <rFont val="Arial"/>
        <family val="2"/>
      </rPr>
      <t>made</t>
    </r>
    <r>
      <rPr>
        <sz val="12"/>
        <color indexed="10"/>
        <rFont val="Arial"/>
        <family val="2"/>
      </rPr>
      <t xml:space="preserve"> </t>
    </r>
    <r>
      <rPr>
        <sz val="12"/>
        <rFont val="Arial"/>
        <family val="2"/>
      </rPr>
      <t>of synthetic rubber (halogen free), type: AC, ARMACEL or equivalent, complete with original adhesive and insulating tape for copper tubes, dimensions:</t>
    </r>
  </si>
  <si>
    <r>
      <t xml:space="preserve">Delivery and installation PVC pipes (sewer pipes) with flexible hose </t>
    </r>
    <r>
      <rPr>
        <sz val="12"/>
        <rFont val="Calibri"/>
        <family val="2"/>
      </rPr>
      <t>Ø</t>
    </r>
    <r>
      <rPr>
        <sz val="12"/>
        <rFont val="Arial"/>
        <family val="2"/>
      </rPr>
      <t xml:space="preserve">20 for drainage of condensate from indoor air conditiong units with insulation type: AC, d=9mm, ARMACELL, connection to sewage system with built-in siphon, dimensions:
</t>
    </r>
  </si>
  <si>
    <r>
      <t xml:space="preserve"> - </t>
    </r>
    <r>
      <rPr>
        <sz val="12"/>
        <color theme="1"/>
        <rFont val="Calibri"/>
        <family val="2"/>
        <scheme val="minor"/>
      </rPr>
      <t>Ø 32</t>
    </r>
    <r>
      <rPr>
        <sz val="12"/>
        <rFont val="Arial"/>
        <family val="2"/>
      </rPr>
      <t xml:space="preserve"> mm</t>
    </r>
  </si>
  <si>
    <r>
      <t xml:space="preserve"> - </t>
    </r>
    <r>
      <rPr>
        <sz val="12"/>
        <color theme="1"/>
        <rFont val="Calibri"/>
        <family val="2"/>
        <scheme val="minor"/>
      </rPr>
      <t xml:space="preserve">Ø </t>
    </r>
    <r>
      <rPr>
        <sz val="12"/>
        <rFont val="Arial"/>
        <family val="2"/>
      </rPr>
      <t>50 mm</t>
    </r>
  </si>
  <si>
    <r>
      <t xml:space="preserve"> - </t>
    </r>
    <r>
      <rPr>
        <sz val="12"/>
        <color theme="1"/>
        <rFont val="Calibri"/>
        <family val="2"/>
        <scheme val="minor"/>
      </rPr>
      <t>Ø 12</t>
    </r>
    <r>
      <rPr>
        <sz val="12"/>
        <rFont val="Arial"/>
        <family val="2"/>
      </rPr>
      <t>.7 mm</t>
    </r>
  </si>
  <si>
    <r>
      <t xml:space="preserve"> - </t>
    </r>
    <r>
      <rPr>
        <sz val="12"/>
        <color theme="1"/>
        <rFont val="Calibri"/>
        <family val="2"/>
        <scheme val="minor"/>
      </rPr>
      <t>Ø 19</t>
    </r>
    <r>
      <rPr>
        <sz val="12"/>
        <rFont val="Arial"/>
        <family val="2"/>
      </rPr>
      <t>.1 mm</t>
    </r>
  </si>
  <si>
    <r>
      <t xml:space="preserve"> - </t>
    </r>
    <r>
      <rPr>
        <sz val="12"/>
        <color theme="1"/>
        <rFont val="Calibri"/>
        <family val="2"/>
        <scheme val="minor"/>
      </rPr>
      <t xml:space="preserve">Ø </t>
    </r>
    <r>
      <rPr>
        <sz val="12"/>
        <rFont val="Arial"/>
        <family val="2"/>
      </rPr>
      <t>15.9 mm</t>
    </r>
  </si>
  <si>
    <r>
      <t xml:space="preserve"> - </t>
    </r>
    <r>
      <rPr>
        <sz val="12"/>
        <color theme="1"/>
        <rFont val="Calibri"/>
        <family val="2"/>
        <scheme val="minor"/>
      </rPr>
      <t>Ø 25</t>
    </r>
    <r>
      <rPr>
        <sz val="12"/>
        <rFont val="Arial"/>
        <family val="2"/>
      </rPr>
      <t>.4 mm</t>
    </r>
  </si>
  <si>
    <r>
      <t xml:space="preserve"> - </t>
    </r>
    <r>
      <rPr>
        <sz val="12"/>
        <color theme="1"/>
        <rFont val="Calibri"/>
        <family val="2"/>
        <scheme val="minor"/>
      </rPr>
      <t>Ø 34</t>
    </r>
    <r>
      <rPr>
        <sz val="12"/>
        <rFont val="Arial"/>
        <family val="2"/>
      </rPr>
      <t>.9 mm</t>
    </r>
  </si>
  <si>
    <t>TOTAL - HVAC Systems:</t>
  </si>
  <si>
    <t>Supply, erection, operation and maintenance of Contractor's Site Establishment (including Contractor's Site Laboratory)</t>
  </si>
  <si>
    <t>Purchase, transport and installation of prefabricated waste water treatment plant.</t>
  </si>
  <si>
    <t>1.10, 3.32, 4.8</t>
  </si>
  <si>
    <t>Site vehicle for supervisor</t>
  </si>
  <si>
    <t>3.1.8</t>
  </si>
  <si>
    <t>Site vehicle for supervisor, passenger vehicle, station wagon, min.  80kw</t>
  </si>
  <si>
    <r>
      <t>Purchase and installation of booster pump for hydrant water system</t>
    </r>
    <r>
      <rPr>
        <sz val="12"/>
        <rFont val="Times New Roman"/>
        <family val="1"/>
        <charset val="1"/>
      </rPr>
      <t xml:space="preserve"> </t>
    </r>
  </si>
  <si>
    <t>Purchase and installation of booster pump for sanitary water</t>
  </si>
  <si>
    <t>4.3.1.4</t>
  </si>
  <si>
    <t>TOTAL PRELIMINARY WORKS</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</si>
</sst>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 _€_-;\-* #,##0.00\ _€_-;_-* &quot;-&quot;??\ _€_-;_-@_-"/>
    <numFmt numFmtId="164" formatCode="_(* #,##0.00_);_(* \(#,##0.00\);_(* &quot;-&quot;??_);_(@_)"/>
    <numFmt numFmtId="165" formatCode="#,###.00"/>
    <numFmt numFmtId="166" formatCode="dd/mm/yy"/>
    <numFmt numFmtId="167" formatCode="0.00_)"/>
    <numFmt numFmtId="168" formatCode="_-* #,##0.00\ [$Din.-81A]_-;\-* #,##0.00\ [$Din.-81A]_-;_-* &quot;-&quot;??\ [$Din.-81A]_-;_-@_-"/>
    <numFmt numFmtId="169" formatCode="_-* #,##0.00&quot; $&quot;_-;\-* #,##0.00&quot; $&quot;_-;_-* \-??&quot; $&quot;_-;_-@_-"/>
    <numFmt numFmtId="170" formatCode="#."/>
    <numFmt numFmtId="171" formatCode="_-* #,##0.00\ _D_i_n_._-;\-* #,##0.00\ _D_i_n_._-;_-* \-??\ _D_i_n_._-;_-@_-"/>
    <numFmt numFmtId="172" formatCode="#,##0.00;[Red]#,##0.00"/>
    <numFmt numFmtId="173" formatCode="0.00;[Red]0.00"/>
  </numFmts>
  <fonts count="141">
    <font>
      <sz val="11"/>
      <color theme="1"/>
      <name val="Calibri"/>
      <family val="2"/>
      <scheme val="minor"/>
    </font>
    <font>
      <sz val="11"/>
      <color theme="1"/>
      <name val="Calibri"/>
      <family val="2"/>
      <scheme val="minor"/>
    </font>
    <font>
      <sz val="10"/>
      <name val="Arial"/>
      <family val="2"/>
      <charset val="238"/>
    </font>
    <font>
      <sz val="12"/>
      <color indexed="14"/>
      <name val="Times New Roman"/>
      <family val="1"/>
      <charset val="1"/>
    </font>
    <font>
      <b/>
      <sz val="12"/>
      <color indexed="14"/>
      <name val="Times New Roman"/>
      <family val="1"/>
      <charset val="1"/>
    </font>
    <font>
      <sz val="12"/>
      <name val="Times New Roman"/>
      <family val="1"/>
      <charset val="1"/>
    </font>
    <font>
      <sz val="12"/>
      <color indexed="8"/>
      <name val="Times New Roman"/>
      <family val="1"/>
      <charset val="238"/>
    </font>
    <font>
      <b/>
      <sz val="12"/>
      <name val="Times New Roman"/>
      <family val="1"/>
      <charset val="1"/>
    </font>
    <font>
      <b/>
      <sz val="12"/>
      <color indexed="8"/>
      <name val="Times New Roman"/>
      <family val="1"/>
      <charset val="238"/>
    </font>
    <font>
      <sz val="10"/>
      <color indexed="8"/>
      <name val="Times New Roman"/>
      <family val="1"/>
      <charset val="238"/>
    </font>
    <font>
      <i/>
      <sz val="12"/>
      <color indexed="14"/>
      <name val="Times New Roman"/>
      <family val="1"/>
      <charset val="1"/>
    </font>
    <font>
      <vertAlign val="superscript"/>
      <sz val="10"/>
      <color indexed="8"/>
      <name val="Times New Roman"/>
      <family val="1"/>
      <charset val="238"/>
    </font>
    <font>
      <sz val="12"/>
      <color indexed="8"/>
      <name val="Times New Roman"/>
      <family val="1"/>
      <charset val="1"/>
    </font>
    <font>
      <vertAlign val="superscript"/>
      <sz val="12"/>
      <color indexed="8"/>
      <name val="Times New Roman"/>
      <family val="1"/>
      <charset val="238"/>
    </font>
    <font>
      <sz val="12"/>
      <color indexed="33"/>
      <name val="Times New Roman"/>
      <family val="1"/>
      <charset val="1"/>
    </font>
    <font>
      <sz val="12"/>
      <name val="Times New Roman"/>
      <family val="1"/>
      <charset val="238"/>
    </font>
    <font>
      <vertAlign val="superscript"/>
      <sz val="11"/>
      <color indexed="8"/>
      <name val="Times New Roman"/>
      <family val="1"/>
      <charset val="238"/>
    </font>
    <font>
      <b/>
      <sz val="12"/>
      <color indexed="33"/>
      <name val="Times New Roman"/>
      <family val="1"/>
      <charset val="1"/>
    </font>
    <font>
      <sz val="12"/>
      <color indexed="53"/>
      <name val="Times New Roman"/>
      <family val="1"/>
      <charset val="1"/>
    </font>
    <font>
      <sz val="12"/>
      <color indexed="29"/>
      <name val="Times New Roman"/>
      <family val="1"/>
      <charset val="1"/>
    </font>
    <font>
      <b/>
      <sz val="12"/>
      <color indexed="29"/>
      <name val="Times New Roman"/>
      <family val="1"/>
      <charset val="1"/>
    </font>
    <font>
      <sz val="12"/>
      <color theme="1"/>
      <name val="Times New Roman"/>
      <family val="1"/>
      <charset val="238"/>
    </font>
    <font>
      <sz val="12"/>
      <color indexed="10"/>
      <name val="Times New Roman"/>
      <family val="1"/>
      <charset val="1"/>
    </font>
    <font>
      <b/>
      <sz val="12"/>
      <color indexed="10"/>
      <name val="Times New Roman"/>
      <family val="1"/>
      <charset val="1"/>
    </font>
    <font>
      <sz val="12"/>
      <color rgb="FFFF0000"/>
      <name val="Times New Roman"/>
      <family val="1"/>
      <charset val="238"/>
    </font>
    <font>
      <sz val="12"/>
      <color indexed="10"/>
      <name val="Times New Roman"/>
      <family val="1"/>
    </font>
    <font>
      <b/>
      <u/>
      <sz val="12"/>
      <color indexed="8"/>
      <name val="Times New Roman"/>
      <family val="1"/>
      <charset val="238"/>
    </font>
    <font>
      <b/>
      <u/>
      <sz val="12"/>
      <name val="Times New Roman"/>
      <family val="1"/>
      <charset val="1"/>
    </font>
    <font>
      <u/>
      <sz val="9"/>
      <name val="Arial"/>
      <family val="2"/>
      <charset val="238"/>
    </font>
    <font>
      <b/>
      <u/>
      <sz val="12"/>
      <color indexed="10"/>
      <name val="Times New Roman"/>
      <family val="1"/>
      <charset val="1"/>
    </font>
    <font>
      <b/>
      <sz val="10"/>
      <name val="Times New Roman"/>
      <family val="1"/>
      <charset val="1"/>
    </font>
    <font>
      <sz val="12"/>
      <name val="Arial"/>
      <family val="2"/>
      <charset val="238"/>
    </font>
    <font>
      <sz val="12"/>
      <color indexed="10"/>
      <name val="Arial"/>
      <family val="2"/>
      <charset val="238"/>
    </font>
    <font>
      <b/>
      <sz val="12"/>
      <name val="Times New Roman"/>
      <family val="1"/>
      <charset val="238"/>
    </font>
    <font>
      <b/>
      <sz val="12"/>
      <color rgb="FFFF0000"/>
      <name val="Times New Roman"/>
      <family val="1"/>
      <charset val="238"/>
    </font>
    <font>
      <sz val="9"/>
      <name val="Arial"/>
      <family val="2"/>
      <charset val="1"/>
    </font>
    <font>
      <sz val="12"/>
      <color indexed="14"/>
      <name val="Times New Roman"/>
      <family val="1"/>
      <charset val="238"/>
    </font>
    <font>
      <i/>
      <sz val="12"/>
      <name val="Times New Roman"/>
      <family val="1"/>
      <charset val="238"/>
    </font>
    <font>
      <i/>
      <sz val="12"/>
      <color indexed="14"/>
      <name val="Times New Roman"/>
      <family val="1"/>
      <charset val="238"/>
    </font>
    <font>
      <b/>
      <sz val="12"/>
      <color indexed="14"/>
      <name val="Times New Roman"/>
      <family val="1"/>
      <charset val="238"/>
    </font>
    <font>
      <vertAlign val="superscript"/>
      <sz val="11"/>
      <color indexed="8"/>
      <name val="Calibri"/>
      <family val="2"/>
      <charset val="238"/>
    </font>
    <font>
      <sz val="11"/>
      <color indexed="8"/>
      <name val="Calibri"/>
      <family val="2"/>
      <charset val="238"/>
    </font>
    <font>
      <sz val="12"/>
      <color indexed="10"/>
      <name val="Times New Roman"/>
      <family val="1"/>
      <charset val="238"/>
    </font>
    <font>
      <b/>
      <sz val="12"/>
      <color indexed="10"/>
      <name val="Times New Roman"/>
      <family val="1"/>
      <charset val="238"/>
    </font>
    <font>
      <sz val="12"/>
      <color indexed="33"/>
      <name val="Times New Roman"/>
      <family val="1"/>
      <charset val="238"/>
    </font>
    <font>
      <b/>
      <sz val="12"/>
      <color indexed="33"/>
      <name val="Times New Roman"/>
      <family val="1"/>
      <charset val="238"/>
    </font>
    <font>
      <sz val="10"/>
      <name val="Times New Roman"/>
      <family val="1"/>
      <charset val="238"/>
    </font>
    <font>
      <vertAlign val="superscript"/>
      <sz val="11"/>
      <name val="Times New Roman"/>
      <family val="1"/>
      <charset val="238"/>
    </font>
    <font>
      <vertAlign val="superscript"/>
      <sz val="12"/>
      <name val="Times New Roman"/>
      <family val="1"/>
      <charset val="1"/>
    </font>
    <font>
      <i/>
      <sz val="12"/>
      <color indexed="10"/>
      <name val="Times New Roman"/>
      <family val="1"/>
      <charset val="238"/>
    </font>
    <font>
      <sz val="11"/>
      <color indexed="8"/>
      <name val="Times New Roman"/>
      <family val="1"/>
      <charset val="238"/>
    </font>
    <font>
      <sz val="10"/>
      <name val="Times New Roman"/>
      <family val="1"/>
      <charset val="1"/>
    </font>
    <font>
      <sz val="10"/>
      <color indexed="10"/>
      <name val="Arial"/>
      <family val="2"/>
      <charset val="238"/>
    </font>
    <font>
      <b/>
      <sz val="12"/>
      <color rgb="FF000000"/>
      <name val="Times New Roman"/>
      <family val="1"/>
    </font>
    <font>
      <sz val="10"/>
      <color rgb="FF000000"/>
      <name val="Times New Roman"/>
      <family val="1"/>
    </font>
    <font>
      <sz val="12"/>
      <color rgb="FF000000"/>
      <name val="Times New Roman"/>
      <family val="1"/>
    </font>
    <font>
      <vertAlign val="superscript"/>
      <sz val="10"/>
      <color indexed="8"/>
      <name val="Times New Roman"/>
      <family val="1"/>
    </font>
    <font>
      <sz val="10"/>
      <color indexed="8"/>
      <name val="Times New Roman"/>
      <family val="1"/>
    </font>
    <font>
      <vertAlign val="superscript"/>
      <sz val="12"/>
      <color indexed="8"/>
      <name val="Times New Roman"/>
      <family val="1"/>
    </font>
    <font>
      <sz val="12"/>
      <color indexed="8"/>
      <name val="Times New Roman"/>
      <family val="1"/>
    </font>
    <font>
      <vertAlign val="superscript"/>
      <sz val="11"/>
      <color indexed="8"/>
      <name val="Times New Roman"/>
      <family val="1"/>
    </font>
    <font>
      <vertAlign val="superscript"/>
      <sz val="12"/>
      <color indexed="8"/>
      <name val="Calibri"/>
      <family val="2"/>
    </font>
    <font>
      <sz val="12"/>
      <color indexed="8"/>
      <name val="Calibri"/>
      <family val="2"/>
    </font>
    <font>
      <b/>
      <sz val="12"/>
      <color indexed="20"/>
      <name val="Times New Roman"/>
      <family val="1"/>
      <charset val="1"/>
    </font>
    <font>
      <sz val="12"/>
      <color theme="1"/>
      <name val="Times New Roman"/>
      <family val="1"/>
    </font>
    <font>
      <sz val="12"/>
      <color indexed="20"/>
      <name val="Times New Roman"/>
      <family val="1"/>
      <charset val="1"/>
    </font>
    <font>
      <sz val="11"/>
      <name val="Times New Roman"/>
      <family val="1"/>
      <charset val="1"/>
    </font>
    <font>
      <i/>
      <sz val="12"/>
      <name val="Times New Roman"/>
      <family val="1"/>
      <charset val="1"/>
    </font>
    <font>
      <b/>
      <sz val="10"/>
      <name val="Arial"/>
      <family val="2"/>
      <charset val="238"/>
    </font>
    <font>
      <sz val="10"/>
      <name val="Arial"/>
      <family val="2"/>
    </font>
    <font>
      <sz val="10"/>
      <name val="Cir Times"/>
      <family val="2"/>
    </font>
    <font>
      <sz val="10"/>
      <name val="Arial Cirilica"/>
      <family val="2"/>
    </font>
    <font>
      <i/>
      <sz val="12"/>
      <name val="Times New Roman"/>
      <family val="1"/>
    </font>
    <font>
      <sz val="12"/>
      <name val="Times New Roman"/>
      <family val="1"/>
    </font>
    <font>
      <b/>
      <sz val="12"/>
      <name val="Times New Roman"/>
      <family val="1"/>
    </font>
    <font>
      <sz val="10"/>
      <color rgb="FFFF0000"/>
      <name val="Cir Times"/>
      <family val="2"/>
    </font>
    <font>
      <vertAlign val="superscript"/>
      <sz val="12"/>
      <name val="Times New Roman"/>
      <family val="1"/>
    </font>
    <font>
      <b/>
      <sz val="12"/>
      <color theme="0" tint="-0.249977111117893"/>
      <name val="Times New Roman"/>
      <family val="1"/>
    </font>
    <font>
      <b/>
      <sz val="10"/>
      <name val="Cir Times"/>
      <family val="2"/>
    </font>
    <font>
      <sz val="10"/>
      <name val="Times_Lat"/>
      <charset val="238"/>
    </font>
    <font>
      <sz val="11"/>
      <color indexed="10"/>
      <name val="Times New Roman"/>
      <family val="1"/>
      <charset val="1"/>
    </font>
    <font>
      <b/>
      <sz val="11"/>
      <name val="Times New Roman"/>
      <family val="1"/>
      <charset val="1"/>
    </font>
    <font>
      <b/>
      <sz val="12"/>
      <color indexed="8"/>
      <name val="Times New Roman"/>
      <family val="1"/>
    </font>
    <font>
      <b/>
      <sz val="12"/>
      <color indexed="8"/>
      <name val="Times New Roman"/>
      <family val="1"/>
      <charset val="1"/>
    </font>
    <font>
      <sz val="12"/>
      <color theme="1"/>
      <name val="Calibri"/>
      <family val="2"/>
      <scheme val="minor"/>
    </font>
    <font>
      <sz val="12"/>
      <name val="Times_Lat"/>
      <charset val="238"/>
    </font>
    <font>
      <b/>
      <sz val="14"/>
      <name val="Arial"/>
      <family val="2"/>
      <charset val="238"/>
    </font>
    <font>
      <sz val="9"/>
      <name val="Arial"/>
      <family val="2"/>
      <charset val="238"/>
    </font>
    <font>
      <sz val="10"/>
      <name val="Yu Times"/>
      <family val="1"/>
      <charset val="238"/>
    </font>
    <font>
      <b/>
      <u/>
      <sz val="11"/>
      <name val="Arial"/>
      <family val="2"/>
      <charset val="238"/>
    </font>
    <font>
      <b/>
      <sz val="11"/>
      <name val="Arial"/>
      <family val="2"/>
      <charset val="238"/>
    </font>
    <font>
      <b/>
      <sz val="10"/>
      <color indexed="10"/>
      <name val="Arial"/>
      <family val="2"/>
      <charset val="238"/>
    </font>
    <font>
      <sz val="10"/>
      <name val="Times New Roman"/>
      <family val="1"/>
    </font>
    <font>
      <b/>
      <sz val="12"/>
      <color indexed="10"/>
      <name val="Times New Roman"/>
      <family val="1"/>
    </font>
    <font>
      <sz val="11"/>
      <color theme="1"/>
      <name val="Calibri"/>
      <family val="2"/>
      <charset val="238"/>
      <scheme val="minor"/>
    </font>
    <font>
      <sz val="10"/>
      <color theme="1"/>
      <name val="Calibri"/>
      <family val="2"/>
      <charset val="238"/>
      <scheme val="minor"/>
    </font>
    <font>
      <sz val="10"/>
      <color theme="1"/>
      <name val="Calibri"/>
      <family val="2"/>
      <scheme val="minor"/>
    </font>
    <font>
      <b/>
      <sz val="11"/>
      <color theme="1"/>
      <name val="Calibri"/>
      <family val="2"/>
      <charset val="238"/>
      <scheme val="minor"/>
    </font>
    <font>
      <sz val="9"/>
      <color theme="1"/>
      <name val="Calibri"/>
      <family val="2"/>
      <scheme val="minor"/>
    </font>
    <font>
      <sz val="9"/>
      <color theme="1"/>
      <name val="Calibri"/>
      <family val="2"/>
      <charset val="238"/>
      <scheme val="minor"/>
    </font>
    <font>
      <sz val="11"/>
      <color rgb="FF000000"/>
      <name val="Calibri"/>
      <family val="2"/>
      <charset val="238"/>
    </font>
    <font>
      <vertAlign val="superscript"/>
      <sz val="12"/>
      <color theme="1"/>
      <name val="Times New Roman"/>
      <family val="1"/>
    </font>
    <font>
      <sz val="11"/>
      <color indexed="14"/>
      <name val="Times New Roman"/>
      <family val="1"/>
      <charset val="238"/>
    </font>
    <font>
      <b/>
      <sz val="10"/>
      <name val="Arial"/>
      <family val="2"/>
    </font>
    <font>
      <vertAlign val="superscript"/>
      <sz val="10"/>
      <name val="Arial"/>
      <family val="2"/>
    </font>
    <font>
      <b/>
      <sz val="14"/>
      <color theme="1"/>
      <name val="Calibri"/>
      <family val="2"/>
      <scheme val="minor"/>
    </font>
    <font>
      <b/>
      <sz val="12"/>
      <color theme="0"/>
      <name val="Times New Roman"/>
      <family val="1"/>
    </font>
    <font>
      <b/>
      <sz val="14"/>
      <color rgb="FFFF0000"/>
      <name val="Times New Roman"/>
      <family val="1"/>
      <charset val="1"/>
    </font>
    <font>
      <b/>
      <sz val="14"/>
      <color rgb="FFFF0000"/>
      <name val="Times New Roman"/>
      <family val="1"/>
    </font>
    <font>
      <sz val="14"/>
      <color rgb="FFFF0000"/>
      <name val="Times New Roman"/>
      <family val="1"/>
    </font>
    <font>
      <sz val="11"/>
      <color theme="0"/>
      <name val="Calibri"/>
      <family val="2"/>
      <scheme val="minor"/>
    </font>
    <font>
      <sz val="12"/>
      <color theme="0"/>
      <name val="Times New Roman"/>
      <family val="1"/>
      <charset val="1"/>
    </font>
    <font>
      <b/>
      <sz val="12"/>
      <color theme="0"/>
      <name val="Times New Roman"/>
      <family val="1"/>
      <charset val="1"/>
    </font>
    <font>
      <b/>
      <sz val="12"/>
      <color theme="0"/>
      <name val="Times New Roman"/>
      <family val="1"/>
      <charset val="238"/>
    </font>
    <font>
      <b/>
      <sz val="11"/>
      <color theme="0"/>
      <name val="Times New Roman"/>
      <family val="1"/>
    </font>
    <font>
      <sz val="12"/>
      <color theme="0"/>
      <name val="Calibri"/>
      <family val="2"/>
      <scheme val="minor"/>
    </font>
    <font>
      <sz val="9"/>
      <color theme="0"/>
      <name val="Calibri"/>
      <family val="2"/>
      <charset val="238"/>
      <scheme val="minor"/>
    </font>
    <font>
      <sz val="9"/>
      <color theme="0"/>
      <name val="Calibri"/>
      <family val="2"/>
      <scheme val="minor"/>
    </font>
    <font>
      <sz val="8"/>
      <name val="Arial"/>
      <family val="2"/>
    </font>
    <font>
      <sz val="8"/>
      <name val="Symbol"/>
      <family val="1"/>
      <charset val="2"/>
    </font>
    <font>
      <sz val="11"/>
      <color theme="0" tint="-4.9989318521683403E-2"/>
      <name val="Times New Roman"/>
      <family val="1"/>
      <charset val="1"/>
    </font>
    <font>
      <sz val="12"/>
      <color theme="0" tint="-4.9989318521683403E-2"/>
      <name val="Times New Roman"/>
      <family val="1"/>
      <charset val="1"/>
    </font>
    <font>
      <sz val="11"/>
      <color theme="0" tint="-4.9989318521683403E-2"/>
      <name val="Times New Roman"/>
      <family val="1"/>
      <charset val="238"/>
    </font>
    <font>
      <b/>
      <sz val="12"/>
      <color theme="0" tint="-4.9989318521683403E-2"/>
      <name val="Times New Roman"/>
      <family val="1"/>
      <charset val="238"/>
    </font>
    <font>
      <sz val="12"/>
      <color theme="0" tint="-4.9989318521683403E-2"/>
      <name val="Times New Roman"/>
      <family val="1"/>
      <charset val="238"/>
    </font>
    <font>
      <b/>
      <sz val="12"/>
      <color theme="0" tint="-4.9989318521683403E-2"/>
      <name val="Times New Roman"/>
      <family val="1"/>
      <charset val="1"/>
    </font>
    <font>
      <i/>
      <sz val="12"/>
      <color theme="0" tint="-4.9989318521683403E-2"/>
      <name val="Times New Roman"/>
      <family val="1"/>
      <charset val="1"/>
    </font>
    <font>
      <sz val="10"/>
      <color theme="0" tint="-4.9989318521683403E-2"/>
      <name val="Arial"/>
      <family val="2"/>
      <charset val="238"/>
    </font>
    <font>
      <sz val="11"/>
      <color theme="0" tint="-4.9989318521683403E-2"/>
      <name val="Calibri"/>
      <family val="2"/>
      <scheme val="minor"/>
    </font>
    <font>
      <sz val="12"/>
      <color theme="0" tint="-4.9989318521683403E-2"/>
      <name val="Arial"/>
      <family val="2"/>
      <charset val="238"/>
    </font>
    <font>
      <i/>
      <sz val="12"/>
      <color theme="0" tint="-4.9989318521683403E-2"/>
      <name val="Times New Roman"/>
      <family val="1"/>
      <charset val="238"/>
    </font>
    <font>
      <sz val="10"/>
      <color theme="0" tint="-4.9989318521683403E-2"/>
      <name val="Times New Roman"/>
      <family val="1"/>
      <charset val="1"/>
    </font>
    <font>
      <sz val="12"/>
      <color theme="0"/>
      <name val="Times New Roman"/>
      <family val="1"/>
    </font>
    <font>
      <sz val="12"/>
      <color theme="3" tint="0.59999389629810485"/>
      <name val="Times New Roman"/>
      <family val="1"/>
    </font>
    <font>
      <sz val="12"/>
      <name val="Arial"/>
      <family val="2"/>
    </font>
    <font>
      <b/>
      <sz val="12"/>
      <name val="Arial"/>
      <family val="2"/>
    </font>
    <font>
      <sz val="12"/>
      <color indexed="10"/>
      <name val="Arial"/>
      <family val="2"/>
    </font>
    <font>
      <sz val="12"/>
      <name val="Calibri"/>
      <family val="2"/>
    </font>
    <font>
      <b/>
      <sz val="14"/>
      <color theme="0"/>
      <name val="Times New Roman"/>
      <family val="1"/>
    </font>
    <font>
      <b/>
      <sz val="14"/>
      <color theme="0" tint="-4.9989318521683403E-2"/>
      <name val="Times New Roman"/>
      <family val="1"/>
    </font>
    <font>
      <sz val="14"/>
      <color theme="1"/>
      <name val="Calibri"/>
      <family val="2"/>
      <scheme val="minor"/>
    </font>
  </fonts>
  <fills count="15">
    <fill>
      <patternFill patternType="none"/>
    </fill>
    <fill>
      <patternFill patternType="gray125"/>
    </fill>
    <fill>
      <patternFill patternType="solid">
        <fgColor indexed="22"/>
        <bgColor indexed="31"/>
      </patternFill>
    </fill>
    <fill>
      <patternFill patternType="solid">
        <fgColor indexed="55"/>
        <bgColor indexed="22"/>
      </patternFill>
    </fill>
    <fill>
      <patternFill patternType="solid">
        <fgColor indexed="55"/>
        <bgColor indexed="31"/>
      </patternFill>
    </fill>
    <fill>
      <patternFill patternType="solid">
        <fgColor indexed="9"/>
        <bgColor indexed="64"/>
      </patternFill>
    </fill>
    <fill>
      <patternFill patternType="solid">
        <fgColor rgb="FFFF0000"/>
        <bgColor indexed="64"/>
      </patternFill>
    </fill>
    <fill>
      <patternFill patternType="solid">
        <fgColor rgb="FFB4C7E7"/>
        <bgColor rgb="FF99CCFF"/>
      </patternFill>
    </fill>
    <fill>
      <patternFill patternType="solid">
        <fgColor theme="0" tint="-0.499984740745262"/>
        <bgColor indexed="64"/>
      </patternFill>
    </fill>
    <fill>
      <patternFill patternType="solid">
        <fgColor theme="2" tint="-9.9978637043366805E-2"/>
        <bgColor indexed="64"/>
      </patternFill>
    </fill>
    <fill>
      <patternFill patternType="solid">
        <fgColor theme="3" tint="0.59999389629810485"/>
        <bgColor indexed="64"/>
      </patternFill>
    </fill>
    <fill>
      <patternFill patternType="solid">
        <fgColor theme="0" tint="-0.14999847407452621"/>
        <bgColor indexed="64"/>
      </patternFill>
    </fill>
    <fill>
      <patternFill patternType="solid">
        <fgColor theme="4" tint="-0.499984740745262"/>
        <bgColor indexed="31"/>
      </patternFill>
    </fill>
    <fill>
      <patternFill patternType="solid">
        <fgColor theme="4" tint="-0.499984740745262"/>
        <bgColor indexed="64"/>
      </patternFill>
    </fill>
    <fill>
      <patternFill patternType="solid">
        <fgColor theme="4" tint="-0.499984740745262"/>
        <bgColor indexed="22"/>
      </patternFill>
    </fill>
  </fills>
  <borders count="41">
    <border>
      <left/>
      <right/>
      <top/>
      <bottom/>
      <diagonal/>
    </border>
    <border>
      <left style="hair">
        <color indexed="8"/>
      </left>
      <right style="hair">
        <color indexed="8"/>
      </right>
      <top style="hair">
        <color indexed="8"/>
      </top>
      <bottom style="hair">
        <color indexed="8"/>
      </bottom>
      <diagonal/>
    </border>
    <border>
      <left style="hair">
        <color indexed="8"/>
      </left>
      <right/>
      <top style="hair">
        <color indexed="8"/>
      </top>
      <bottom style="hair">
        <color indexed="8"/>
      </bottom>
      <diagonal/>
    </border>
    <border>
      <left/>
      <right/>
      <top style="hair">
        <color indexed="8"/>
      </top>
      <bottom style="hair">
        <color indexed="8"/>
      </bottom>
      <diagonal/>
    </border>
    <border>
      <left/>
      <right style="hair">
        <color indexed="8"/>
      </right>
      <top style="hair">
        <color indexed="8"/>
      </top>
      <bottom style="hair">
        <color indexed="8"/>
      </bottom>
      <diagonal/>
    </border>
    <border>
      <left/>
      <right/>
      <top style="hair">
        <color indexed="8"/>
      </top>
      <bottom/>
      <diagonal/>
    </border>
    <border>
      <left style="medium">
        <color indexed="64"/>
      </left>
      <right/>
      <top/>
      <bottom/>
      <diagonal/>
    </border>
    <border>
      <left/>
      <right style="medium">
        <color indexed="64"/>
      </right>
      <top/>
      <bottom/>
      <diagonal/>
    </border>
    <border>
      <left/>
      <right style="hair">
        <color indexed="8"/>
      </right>
      <top style="hair">
        <color indexed="64"/>
      </top>
      <bottom style="hair">
        <color indexed="64"/>
      </bottom>
      <diagonal/>
    </border>
    <border>
      <left/>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right style="thin">
        <color indexed="8"/>
      </right>
      <top/>
      <bottom/>
      <diagonal/>
    </border>
    <border>
      <left/>
      <right/>
      <top/>
      <bottom style="hair">
        <color indexed="8"/>
      </bottom>
      <diagonal/>
    </border>
    <border>
      <left/>
      <right style="hair">
        <color indexed="8"/>
      </right>
      <top style="hair">
        <color indexed="8"/>
      </top>
      <bottom style="hair">
        <color indexed="64"/>
      </bottom>
      <diagonal/>
    </border>
    <border>
      <left/>
      <right/>
      <top style="hair">
        <color indexed="8"/>
      </top>
      <bottom style="hair">
        <color indexed="64"/>
      </bottom>
      <diagonal/>
    </border>
    <border>
      <left style="hair">
        <color indexed="8"/>
      </left>
      <right/>
      <top style="hair">
        <color indexed="64"/>
      </top>
      <bottom style="hair">
        <color indexed="64"/>
      </bottom>
      <diagonal/>
    </border>
    <border>
      <left style="hair">
        <color indexed="64"/>
      </left>
      <right style="hair">
        <color indexed="8"/>
      </right>
      <top style="hair">
        <color indexed="64"/>
      </top>
      <bottom style="hair">
        <color indexed="64"/>
      </bottom>
      <diagonal/>
    </border>
    <border>
      <left/>
      <right/>
      <top style="medium">
        <color indexed="64"/>
      </top>
      <bottom style="hair">
        <color indexed="64"/>
      </bottom>
      <diagonal/>
    </border>
    <border>
      <left/>
      <right style="thin">
        <color indexed="8"/>
      </right>
      <top style="hair">
        <color indexed="8"/>
      </top>
      <bottom style="hair">
        <color indexed="8"/>
      </bottom>
      <diagonal/>
    </border>
    <border>
      <left/>
      <right/>
      <top/>
      <bottom style="hair">
        <color indexed="64"/>
      </bottom>
      <diagonal/>
    </border>
    <border>
      <left/>
      <right/>
      <top/>
      <bottom style="hair">
        <color auto="1"/>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right/>
      <top style="hair">
        <color auto="1"/>
      </top>
      <bottom style="hair">
        <color auto="1"/>
      </bottom>
      <diagonal/>
    </border>
    <border>
      <left style="hair">
        <color indexed="64"/>
      </left>
      <right/>
      <top style="hair">
        <color indexed="64"/>
      </top>
      <bottom/>
      <diagonal/>
    </border>
    <border>
      <left style="medium">
        <color indexed="64"/>
      </left>
      <right/>
      <top style="hair">
        <color indexed="64"/>
      </top>
      <bottom/>
      <diagonal/>
    </border>
    <border>
      <left/>
      <right style="hair">
        <color indexed="64"/>
      </right>
      <top style="hair">
        <color indexed="64"/>
      </top>
      <bottom/>
      <diagonal/>
    </border>
    <border>
      <left style="medium">
        <color indexed="64"/>
      </left>
      <right/>
      <top style="hair">
        <color indexed="64"/>
      </top>
      <bottom style="hair">
        <color indexed="64"/>
      </bottom>
      <diagonal/>
    </border>
    <border>
      <left/>
      <right style="medium">
        <color indexed="64"/>
      </right>
      <top style="hair">
        <color indexed="8"/>
      </top>
      <bottom style="hair">
        <color indexed="64"/>
      </bottom>
      <diagonal/>
    </border>
    <border>
      <left/>
      <right/>
      <top style="hair">
        <color indexed="8"/>
      </top>
      <bottom style="hair">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hair">
        <color indexed="64"/>
      </top>
      <bottom style="medium">
        <color indexed="64"/>
      </bottom>
      <diagonal/>
    </border>
    <border>
      <left/>
      <right/>
      <top style="hair">
        <color indexed="8"/>
      </top>
      <bottom style="hair">
        <color indexed="64"/>
      </bottom>
      <diagonal/>
    </border>
    <border>
      <left/>
      <right/>
      <top style="hair">
        <color indexed="64"/>
      </top>
      <bottom style="hair">
        <color indexed="64"/>
      </bottom>
      <diagonal/>
    </border>
    <border>
      <left/>
      <right style="hair">
        <color indexed="64"/>
      </right>
      <top style="hair">
        <color indexed="64"/>
      </top>
      <bottom/>
      <diagonal/>
    </border>
    <border>
      <left/>
      <right/>
      <top style="hair">
        <color indexed="8"/>
      </top>
      <bottom style="hair">
        <color indexed="8"/>
      </bottom>
      <diagonal/>
    </border>
    <border>
      <left style="hair">
        <color indexed="8"/>
      </left>
      <right/>
      <top/>
      <bottom/>
      <diagonal/>
    </border>
    <border>
      <left/>
      <right/>
      <top style="hair">
        <color auto="1"/>
      </top>
      <bottom style="hair">
        <color auto="1"/>
      </bottom>
      <diagonal/>
    </border>
  </borders>
  <cellStyleXfs count="14">
    <xf numFmtId="0" fontId="0" fillId="0" borderId="0"/>
    <xf numFmtId="0" fontId="2" fillId="0" borderId="0"/>
    <xf numFmtId="0" fontId="28" fillId="0" borderId="0" applyNumberFormat="0" applyFill="0" applyBorder="0" applyProtection="0">
      <alignment horizontal="justify" vertical="top" wrapText="1"/>
    </xf>
    <xf numFmtId="0" fontId="69" fillId="0" borderId="0"/>
    <xf numFmtId="164" fontId="69" fillId="0" borderId="0" applyFont="0" applyFill="0" applyBorder="0" applyAlignment="0" applyProtection="0"/>
    <xf numFmtId="0" fontId="79" fillId="0" borderId="0"/>
    <xf numFmtId="169" fontId="79" fillId="0" borderId="0" applyFill="0" applyBorder="0" applyAlignment="0" applyProtection="0"/>
    <xf numFmtId="0" fontId="2" fillId="0" borderId="0"/>
    <xf numFmtId="171" fontId="2" fillId="0" borderId="0" applyFill="0" applyBorder="0" applyAlignment="0" applyProtection="0"/>
    <xf numFmtId="0" fontId="94" fillId="0" borderId="0"/>
    <xf numFmtId="0" fontId="100" fillId="7" borderId="0" applyBorder="0" applyProtection="0"/>
    <xf numFmtId="0" fontId="100" fillId="0" borderId="0"/>
    <xf numFmtId="9" fontId="1" fillId="0" borderId="0" applyFont="0" applyFill="0" applyBorder="0" applyAlignment="0" applyProtection="0"/>
    <xf numFmtId="43" fontId="1" fillId="0" borderId="0" applyFont="0" applyFill="0" applyBorder="0" applyAlignment="0" applyProtection="0"/>
  </cellStyleXfs>
  <cellXfs count="1562">
    <xf numFmtId="0" fontId="0" fillId="0" borderId="0" xfId="0"/>
    <xf numFmtId="0" fontId="5" fillId="0" borderId="0" xfId="0" applyFont="1" applyAlignment="1">
      <alignment horizontal="center" vertical="top"/>
    </xf>
    <xf numFmtId="0" fontId="2" fillId="0" borderId="0" xfId="1"/>
    <xf numFmtId="0" fontId="3" fillId="0" borderId="0" xfId="1" applyFont="1" applyAlignment="1">
      <alignment horizontal="center" vertical="top"/>
    </xf>
    <xf numFmtId="0" fontId="3" fillId="0" borderId="0" xfId="1" applyFont="1" applyAlignment="1">
      <alignment horizontal="justify"/>
    </xf>
    <xf numFmtId="0" fontId="3" fillId="0" borderId="0" xfId="1" applyFont="1" applyAlignment="1">
      <alignment horizontal="center"/>
    </xf>
    <xf numFmtId="4" fontId="3" fillId="0" borderId="0" xfId="1" applyNumberFormat="1" applyFont="1" applyAlignment="1">
      <alignment horizontal="center"/>
    </xf>
    <xf numFmtId="4" fontId="3" fillId="0" borderId="0" xfId="1" applyNumberFormat="1" applyFont="1" applyAlignment="1">
      <alignment horizontal="right"/>
    </xf>
    <xf numFmtId="4" fontId="4" fillId="0" borderId="0" xfId="1" applyNumberFormat="1" applyFont="1" applyAlignment="1">
      <alignment horizontal="right"/>
    </xf>
    <xf numFmtId="0" fontId="3" fillId="0" borderId="0" xfId="1" applyFont="1" applyAlignment="1">
      <alignment horizontal="justify" vertical="top"/>
    </xf>
    <xf numFmtId="0" fontId="3" fillId="0" borderId="0" xfId="1" applyFont="1"/>
    <xf numFmtId="0" fontId="5" fillId="0" borderId="0" xfId="1" applyFont="1" applyAlignment="1">
      <alignment horizontal="center" vertical="top"/>
    </xf>
    <xf numFmtId="0" fontId="5" fillId="0" borderId="0" xfId="1" applyFont="1" applyAlignment="1">
      <alignment horizontal="justify"/>
    </xf>
    <xf numFmtId="0" fontId="5" fillId="0" borderId="0" xfId="1" applyFont="1" applyAlignment="1">
      <alignment horizontal="center"/>
    </xf>
    <xf numFmtId="4" fontId="5" fillId="0" borderId="0" xfId="1" applyNumberFormat="1" applyFont="1" applyAlignment="1">
      <alignment horizontal="center"/>
    </xf>
    <xf numFmtId="4" fontId="5" fillId="0" borderId="0" xfId="1" applyNumberFormat="1" applyFont="1" applyAlignment="1">
      <alignment horizontal="right"/>
    </xf>
    <xf numFmtId="4" fontId="7" fillId="0" borderId="0" xfId="1" applyNumberFormat="1" applyFont="1" applyAlignment="1">
      <alignment horizontal="right"/>
    </xf>
    <xf numFmtId="0" fontId="8" fillId="0" borderId="0" xfId="1" applyFont="1" applyAlignment="1">
      <alignment horizontal="left"/>
    </xf>
    <xf numFmtId="4" fontId="5" fillId="0" borderId="0" xfId="1" applyNumberFormat="1" applyFont="1" applyFill="1" applyAlignment="1">
      <alignment horizontal="center"/>
    </xf>
    <xf numFmtId="0" fontId="7" fillId="0" borderId="0" xfId="1" applyFont="1" applyAlignment="1">
      <alignment horizontal="justify"/>
    </xf>
    <xf numFmtId="4" fontId="5" fillId="0" borderId="0" xfId="1" applyNumberFormat="1" applyFont="1" applyFill="1" applyAlignment="1">
      <alignment horizontal="right"/>
    </xf>
    <xf numFmtId="0" fontId="5" fillId="0" borderId="2" xfId="1" applyFont="1" applyBorder="1" applyAlignment="1">
      <alignment horizontal="center" vertical="top"/>
    </xf>
    <xf numFmtId="0" fontId="7" fillId="0" borderId="3" xfId="1" applyFont="1" applyBorder="1" applyAlignment="1">
      <alignment horizontal="center" vertical="top"/>
    </xf>
    <xf numFmtId="4" fontId="7" fillId="0" borderId="3" xfId="1" applyNumberFormat="1" applyFont="1" applyFill="1" applyBorder="1" applyAlignment="1">
      <alignment horizontal="center"/>
    </xf>
    <xf numFmtId="4" fontId="7" fillId="0" borderId="4" xfId="1" applyNumberFormat="1" applyFont="1" applyFill="1" applyBorder="1" applyAlignment="1">
      <alignment horizontal="center"/>
    </xf>
    <xf numFmtId="0" fontId="6" fillId="0" borderId="0" xfId="1" applyFont="1" applyFill="1" applyAlignment="1">
      <alignment horizontal="center" vertical="top"/>
    </xf>
    <xf numFmtId="0" fontId="6" fillId="0" borderId="0" xfId="1" applyFont="1" applyFill="1" applyBorder="1" applyAlignment="1">
      <alignment horizontal="justify" vertical="top" wrapText="1"/>
    </xf>
    <xf numFmtId="4" fontId="10" fillId="0" borderId="0" xfId="1" applyNumberFormat="1" applyFont="1" applyFill="1" applyBorder="1" applyAlignment="1">
      <alignment horizontal="center"/>
    </xf>
    <xf numFmtId="4" fontId="10" fillId="0" borderId="0" xfId="1" applyNumberFormat="1" applyFont="1" applyFill="1" applyBorder="1" applyAlignment="1">
      <alignment horizontal="right" wrapText="1"/>
    </xf>
    <xf numFmtId="0" fontId="3" fillId="0" borderId="0" xfId="1" applyFont="1" applyFill="1" applyAlignment="1">
      <alignment horizontal="justify" vertical="top"/>
    </xf>
    <xf numFmtId="0" fontId="5" fillId="0" borderId="0" xfId="1" applyFont="1" applyFill="1" applyAlignment="1">
      <alignment horizontal="center" vertical="top"/>
    </xf>
    <xf numFmtId="0" fontId="6" fillId="0" borderId="0" xfId="1" applyFont="1" applyFill="1" applyBorder="1" applyAlignment="1">
      <alignment horizontal="justify" wrapText="1"/>
    </xf>
    <xf numFmtId="0" fontId="6" fillId="0" borderId="0" xfId="1" applyFont="1" applyFill="1" applyBorder="1" applyAlignment="1">
      <alignment horizontal="center"/>
    </xf>
    <xf numFmtId="4" fontId="5" fillId="0" borderId="0" xfId="1" applyNumberFormat="1" applyFont="1" applyFill="1" applyBorder="1" applyAlignment="1">
      <alignment horizontal="center" vertical="center" wrapText="1"/>
    </xf>
    <xf numFmtId="4" fontId="5" fillId="0" borderId="0" xfId="1" applyNumberFormat="1" applyFont="1" applyFill="1" applyBorder="1" applyAlignment="1">
      <alignment horizontal="right" vertical="center" wrapText="1"/>
    </xf>
    <xf numFmtId="0" fontId="5" fillId="0" borderId="0" xfId="1" applyFont="1" applyFill="1" applyBorder="1" applyAlignment="1">
      <alignment horizontal="justify" vertical="top" wrapText="1"/>
    </xf>
    <xf numFmtId="0" fontId="10" fillId="0" borderId="0" xfId="1" applyFont="1" applyFill="1" applyBorder="1" applyAlignment="1">
      <alignment horizontal="center"/>
    </xf>
    <xf numFmtId="0" fontId="6" fillId="0" borderId="0" xfId="1" applyFont="1" applyFill="1" applyAlignment="1">
      <alignment horizontal="center"/>
    </xf>
    <xf numFmtId="4" fontId="5" fillId="0" borderId="0" xfId="1" applyNumberFormat="1" applyFont="1" applyFill="1" applyAlignment="1">
      <alignment horizontal="center" wrapText="1"/>
    </xf>
    <xf numFmtId="0" fontId="5" fillId="0" borderId="0" xfId="1" applyFont="1" applyFill="1" applyAlignment="1">
      <alignment horizontal="center"/>
    </xf>
    <xf numFmtId="4" fontId="12" fillId="0" borderId="0" xfId="1" applyNumberFormat="1" applyFont="1" applyFill="1" applyBorder="1" applyAlignment="1">
      <alignment horizontal="center"/>
    </xf>
    <xf numFmtId="4" fontId="12" fillId="0" borderId="0" xfId="1" applyNumberFormat="1" applyFont="1" applyFill="1" applyBorder="1" applyAlignment="1">
      <alignment horizontal="right"/>
    </xf>
    <xf numFmtId="0" fontId="6" fillId="0" borderId="0" xfId="1" applyFont="1" applyFill="1" applyBorder="1" applyAlignment="1">
      <alignment horizontal="center" wrapText="1"/>
    </xf>
    <xf numFmtId="4" fontId="5" fillId="0" borderId="0" xfId="1" applyNumberFormat="1" applyFont="1" applyFill="1" applyBorder="1" applyAlignment="1">
      <alignment horizontal="right"/>
    </xf>
    <xf numFmtId="4" fontId="2" fillId="0" borderId="0" xfId="1" applyNumberFormat="1"/>
    <xf numFmtId="0" fontId="3" fillId="0" borderId="0" xfId="1" applyFont="1" applyFill="1"/>
    <xf numFmtId="4" fontId="5" fillId="0" borderId="0" xfId="1" applyNumberFormat="1" applyFont="1" applyFill="1" applyBorder="1" applyAlignment="1">
      <alignment horizontal="center" wrapText="1"/>
    </xf>
    <xf numFmtId="4" fontId="5" fillId="0" borderId="0" xfId="1" applyNumberFormat="1" applyFont="1" applyFill="1" applyBorder="1" applyAlignment="1">
      <alignment horizontal="right" wrapText="1"/>
    </xf>
    <xf numFmtId="49" fontId="6" fillId="0" borderId="0" xfId="1" applyNumberFormat="1" applyFont="1" applyFill="1" applyBorder="1" applyAlignment="1">
      <alignment horizontal="center" vertical="top"/>
    </xf>
    <xf numFmtId="0" fontId="5" fillId="0" borderId="0" xfId="1" applyFont="1" applyAlignment="1"/>
    <xf numFmtId="49" fontId="5" fillId="0" borderId="0" xfId="1" applyNumberFormat="1" applyFont="1" applyFill="1" applyBorder="1" applyAlignment="1">
      <alignment horizontal="center" vertical="top"/>
    </xf>
    <xf numFmtId="0" fontId="6" fillId="0" borderId="0" xfId="1" applyFont="1" applyAlignment="1">
      <alignment horizontal="center"/>
    </xf>
    <xf numFmtId="4" fontId="2" fillId="0" borderId="0" xfId="1" applyNumberFormat="1" applyAlignment="1"/>
    <xf numFmtId="0" fontId="2" fillId="0" borderId="0" xfId="1" applyAlignment="1"/>
    <xf numFmtId="0" fontId="5" fillId="2" borderId="2" xfId="1" applyFont="1" applyFill="1" applyBorder="1" applyAlignment="1">
      <alignment horizontal="center" vertical="top"/>
    </xf>
    <xf numFmtId="0" fontId="8" fillId="2" borderId="3" xfId="1" applyFont="1" applyFill="1" applyBorder="1" applyAlignment="1">
      <alignment horizontal="left"/>
    </xf>
    <xf numFmtId="0" fontId="7" fillId="2" borderId="3" xfId="1" applyFont="1" applyFill="1" applyBorder="1" applyAlignment="1">
      <alignment horizontal="center" vertical="top"/>
    </xf>
    <xf numFmtId="4" fontId="5" fillId="2" borderId="3" xfId="1" applyNumberFormat="1" applyFont="1" applyFill="1" applyBorder="1" applyAlignment="1">
      <alignment horizontal="center"/>
    </xf>
    <xf numFmtId="4" fontId="5" fillId="2" borderId="3" xfId="1" applyNumberFormat="1" applyFont="1" applyFill="1" applyBorder="1" applyAlignment="1">
      <alignment horizontal="right"/>
    </xf>
    <xf numFmtId="4" fontId="7" fillId="2" borderId="4" xfId="1" applyNumberFormat="1" applyFont="1" applyFill="1" applyBorder="1" applyAlignment="1">
      <alignment horizontal="right"/>
    </xf>
    <xf numFmtId="0" fontId="5" fillId="0" borderId="0" xfId="1" applyFont="1" applyAlignment="1">
      <alignment horizontal="justify" vertical="top"/>
    </xf>
    <xf numFmtId="0" fontId="5" fillId="0" borderId="0" xfId="1" applyFont="1"/>
    <xf numFmtId="0" fontId="5" fillId="0" borderId="0" xfId="0" applyFont="1" applyAlignment="1">
      <alignment horizontal="center"/>
    </xf>
    <xf numFmtId="4" fontId="5" fillId="0" borderId="0" xfId="0" applyNumberFormat="1" applyFont="1" applyAlignment="1">
      <alignment horizontal="center"/>
    </xf>
    <xf numFmtId="4" fontId="5" fillId="0" borderId="0" xfId="0" applyNumberFormat="1" applyFont="1" applyAlignment="1">
      <alignment horizontal="right"/>
    </xf>
    <xf numFmtId="4" fontId="7" fillId="0" borderId="0" xfId="0" applyNumberFormat="1" applyFont="1" applyAlignment="1">
      <alignment horizontal="right"/>
    </xf>
    <xf numFmtId="0" fontId="8" fillId="0" borderId="0" xfId="0" applyFont="1" applyAlignment="1">
      <alignment horizontal="left"/>
    </xf>
    <xf numFmtId="4" fontId="5" fillId="0" borderId="0" xfId="0" applyNumberFormat="1" applyFont="1" applyFill="1" applyAlignment="1">
      <alignment horizontal="center"/>
    </xf>
    <xf numFmtId="0" fontId="7" fillId="0" borderId="0" xfId="0" applyFont="1" applyAlignment="1">
      <alignment horizontal="justify"/>
    </xf>
    <xf numFmtId="0" fontId="5" fillId="0" borderId="2" xfId="0" applyFont="1" applyBorder="1" applyAlignment="1">
      <alignment horizontal="center" vertical="top"/>
    </xf>
    <xf numFmtId="0" fontId="7" fillId="0" borderId="3" xfId="0" applyFont="1" applyBorder="1" applyAlignment="1">
      <alignment horizontal="center" vertical="top"/>
    </xf>
    <xf numFmtId="4" fontId="7" fillId="0" borderId="3" xfId="0" applyNumberFormat="1" applyFont="1" applyFill="1" applyBorder="1" applyAlignment="1">
      <alignment horizontal="center"/>
    </xf>
    <xf numFmtId="4" fontId="7" fillId="0" borderId="4" xfId="0" applyNumberFormat="1" applyFont="1" applyFill="1" applyBorder="1" applyAlignment="1">
      <alignment horizontal="center"/>
    </xf>
    <xf numFmtId="0" fontId="6" fillId="0" borderId="0" xfId="0" applyFont="1" applyFill="1" applyAlignment="1">
      <alignment horizontal="center" vertical="top"/>
    </xf>
    <xf numFmtId="0" fontId="6" fillId="0" borderId="0" xfId="0" applyFont="1" applyFill="1" applyBorder="1" applyAlignment="1">
      <alignment horizontal="justify" vertical="top" wrapText="1"/>
    </xf>
    <xf numFmtId="0" fontId="5" fillId="0" borderId="0" xfId="0" applyFont="1" applyFill="1" applyAlignment="1">
      <alignment horizontal="center" vertical="top"/>
    </xf>
    <xf numFmtId="0" fontId="6" fillId="0" borderId="0" xfId="0" applyFont="1" applyFill="1" applyBorder="1" applyAlignment="1">
      <alignment horizontal="justify" wrapText="1"/>
    </xf>
    <xf numFmtId="0" fontId="6" fillId="0" borderId="0" xfId="0" applyFont="1" applyFill="1" applyBorder="1" applyAlignment="1">
      <alignment horizontal="center"/>
    </xf>
    <xf numFmtId="4" fontId="5" fillId="0" borderId="0" xfId="0" applyNumberFormat="1" applyFont="1" applyFill="1" applyBorder="1" applyAlignment="1">
      <alignment horizontal="center" vertical="center" wrapText="1"/>
    </xf>
    <xf numFmtId="0" fontId="5" fillId="0" borderId="0" xfId="0" applyFont="1" applyFill="1" applyBorder="1" applyAlignment="1">
      <alignment horizontal="justify" vertical="top" wrapText="1"/>
    </xf>
    <xf numFmtId="0" fontId="6" fillId="0" borderId="0" xfId="0" applyFont="1" applyFill="1" applyAlignment="1">
      <alignment horizontal="center"/>
    </xf>
    <xf numFmtId="4" fontId="5" fillId="0" borderId="0" xfId="0" applyNumberFormat="1" applyFont="1" applyFill="1" applyAlignment="1">
      <alignment horizontal="center" wrapText="1"/>
    </xf>
    <xf numFmtId="4" fontId="5" fillId="0" borderId="0" xfId="0" applyNumberFormat="1" applyFont="1" applyFill="1" applyAlignment="1">
      <alignment horizontal="right"/>
    </xf>
    <xf numFmtId="0" fontId="5" fillId="0" borderId="0" xfId="0" applyFont="1" applyFill="1" applyAlignment="1">
      <alignment horizontal="center"/>
    </xf>
    <xf numFmtId="4" fontId="12" fillId="0" borderId="0" xfId="0" applyNumberFormat="1" applyFont="1" applyFill="1" applyBorder="1" applyAlignment="1">
      <alignment horizontal="center"/>
    </xf>
    <xf numFmtId="4" fontId="12" fillId="0" borderId="0" xfId="0" applyNumberFormat="1" applyFont="1" applyFill="1" applyBorder="1" applyAlignment="1">
      <alignment horizontal="right"/>
    </xf>
    <xf numFmtId="0" fontId="5" fillId="0" borderId="0" xfId="0" applyFont="1" applyFill="1" applyAlignment="1"/>
    <xf numFmtId="0" fontId="6" fillId="0" borderId="0" xfId="0" applyFont="1" applyFill="1" applyBorder="1" applyAlignment="1">
      <alignment horizontal="center" wrapText="1"/>
    </xf>
    <xf numFmtId="4" fontId="5" fillId="0" borderId="0" xfId="0" applyNumberFormat="1" applyFont="1" applyFill="1" applyBorder="1" applyAlignment="1">
      <alignment horizontal="right"/>
    </xf>
    <xf numFmtId="4" fontId="5" fillId="0" borderId="0" xfId="0" applyNumberFormat="1" applyFont="1" applyFill="1" applyBorder="1" applyAlignment="1">
      <alignment horizontal="center" wrapText="1"/>
    </xf>
    <xf numFmtId="49" fontId="6" fillId="0" borderId="0" xfId="0" applyNumberFormat="1" applyFont="1" applyFill="1" applyBorder="1" applyAlignment="1">
      <alignment horizontal="center" vertical="top"/>
    </xf>
    <xf numFmtId="0" fontId="5" fillId="0" borderId="0" xfId="0" applyFont="1" applyAlignment="1"/>
    <xf numFmtId="49" fontId="5" fillId="0" borderId="0" xfId="0" applyNumberFormat="1" applyFont="1" applyFill="1" applyBorder="1" applyAlignment="1">
      <alignment horizontal="center" vertical="top"/>
    </xf>
    <xf numFmtId="0" fontId="12" fillId="0" borderId="0" xfId="0" applyFont="1" applyFill="1" applyBorder="1" applyAlignment="1">
      <alignment horizontal="center"/>
    </xf>
    <xf numFmtId="0" fontId="0" fillId="0" borderId="0" xfId="0" applyAlignment="1"/>
    <xf numFmtId="0" fontId="5" fillId="2" borderId="2" xfId="0" applyFont="1" applyFill="1" applyBorder="1" applyAlignment="1">
      <alignment horizontal="center" vertical="top"/>
    </xf>
    <xf numFmtId="0" fontId="8" fillId="2" borderId="3" xfId="0" applyFont="1" applyFill="1" applyBorder="1" applyAlignment="1">
      <alignment horizontal="left"/>
    </xf>
    <xf numFmtId="4" fontId="5" fillId="2" borderId="3" xfId="0" applyNumberFormat="1" applyFont="1" applyFill="1" applyBorder="1" applyAlignment="1">
      <alignment horizontal="center"/>
    </xf>
    <xf numFmtId="4" fontId="5" fillId="2" borderId="3" xfId="0" applyNumberFormat="1" applyFont="1" applyFill="1" applyBorder="1" applyAlignment="1">
      <alignment horizontal="right"/>
    </xf>
    <xf numFmtId="4" fontId="7" fillId="2" borderId="4" xfId="0" applyNumberFormat="1" applyFont="1" applyFill="1" applyBorder="1" applyAlignment="1">
      <alignment horizontal="right"/>
    </xf>
    <xf numFmtId="0" fontId="7" fillId="0" borderId="0" xfId="0" applyFont="1" applyAlignment="1">
      <alignment horizontal="left"/>
    </xf>
    <xf numFmtId="0" fontId="5" fillId="0" borderId="2" xfId="0" applyFont="1" applyFill="1" applyBorder="1" applyAlignment="1">
      <alignment horizontal="center" vertical="top"/>
    </xf>
    <xf numFmtId="0" fontId="7" fillId="0" borderId="3" xfId="0" applyFont="1" applyFill="1" applyBorder="1" applyAlignment="1">
      <alignment horizontal="center" vertical="top"/>
    </xf>
    <xf numFmtId="0" fontId="7" fillId="0" borderId="0" xfId="0" applyFont="1" applyFill="1" applyAlignment="1">
      <alignment horizontal="justify"/>
    </xf>
    <xf numFmtId="4" fontId="7" fillId="0" borderId="0" xfId="0" applyNumberFormat="1" applyFont="1" applyFill="1" applyAlignment="1">
      <alignment horizontal="right"/>
    </xf>
    <xf numFmtId="165" fontId="5" fillId="0" borderId="0" xfId="0" applyNumberFormat="1" applyFont="1" applyFill="1" applyBorder="1" applyAlignment="1">
      <alignment horizontal="center" wrapText="1"/>
    </xf>
    <xf numFmtId="0" fontId="5" fillId="0" borderId="0" xfId="0" applyFont="1" applyFill="1" applyBorder="1" applyAlignment="1">
      <alignment horizontal="center" wrapText="1"/>
    </xf>
    <xf numFmtId="4" fontId="5" fillId="0" borderId="0" xfId="0" applyNumberFormat="1" applyFont="1" applyFill="1" applyBorder="1" applyAlignment="1">
      <alignment horizontal="center"/>
    </xf>
    <xf numFmtId="4" fontId="5" fillId="0" borderId="3" xfId="0" applyNumberFormat="1" applyFont="1" applyFill="1" applyBorder="1" applyAlignment="1">
      <alignment horizontal="center"/>
    </xf>
    <xf numFmtId="4" fontId="5" fillId="0" borderId="3" xfId="0" applyNumberFormat="1" applyFont="1" applyFill="1" applyBorder="1" applyAlignment="1">
      <alignment horizontal="right"/>
    </xf>
    <xf numFmtId="4" fontId="7" fillId="0" borderId="4" xfId="0" applyNumberFormat="1" applyFont="1" applyFill="1" applyBorder="1" applyAlignment="1">
      <alignment horizontal="right"/>
    </xf>
    <xf numFmtId="0" fontId="14" fillId="0" borderId="0" xfId="0" applyFont="1" applyFill="1" applyAlignment="1">
      <alignment horizontal="center" vertical="top"/>
    </xf>
    <xf numFmtId="0" fontId="14" fillId="0" borderId="0" xfId="0" applyFont="1" applyFill="1" applyAlignment="1">
      <alignment horizontal="justify"/>
    </xf>
    <xf numFmtId="0" fontId="17" fillId="0" borderId="0" xfId="0" applyFont="1" applyFill="1" applyAlignment="1">
      <alignment horizontal="center" vertical="top"/>
    </xf>
    <xf numFmtId="4" fontId="14" fillId="0" borderId="0" xfId="0" applyNumberFormat="1" applyFont="1" applyFill="1" applyAlignment="1">
      <alignment horizontal="center"/>
    </xf>
    <xf numFmtId="4" fontId="14" fillId="0" borderId="0" xfId="0" applyNumberFormat="1" applyFont="1" applyFill="1" applyAlignment="1">
      <alignment horizontal="right"/>
    </xf>
    <xf numFmtId="0" fontId="14" fillId="0" borderId="0" xfId="0" applyFont="1" applyAlignment="1">
      <alignment horizontal="center" vertical="top"/>
    </xf>
    <xf numFmtId="0" fontId="14" fillId="0" borderId="0" xfId="0" applyFont="1" applyAlignment="1">
      <alignment horizontal="justify"/>
    </xf>
    <xf numFmtId="0" fontId="17" fillId="0" borderId="0" xfId="0" applyFont="1" applyAlignment="1">
      <alignment horizontal="center" vertical="top"/>
    </xf>
    <xf numFmtId="4" fontId="14" fillId="0" borderId="0" xfId="0" applyNumberFormat="1" applyFont="1" applyAlignment="1">
      <alignment horizontal="center"/>
    </xf>
    <xf numFmtId="4" fontId="14" fillId="0" borderId="0" xfId="0" applyNumberFormat="1" applyFont="1" applyAlignment="1">
      <alignment horizontal="right"/>
    </xf>
    <xf numFmtId="4" fontId="5" fillId="0" borderId="3" xfId="0" applyNumberFormat="1" applyFont="1" applyBorder="1" applyAlignment="1">
      <alignment horizontal="center"/>
    </xf>
    <xf numFmtId="4" fontId="5" fillId="0" borderId="4" xfId="0" applyNumberFormat="1" applyFont="1" applyBorder="1" applyAlignment="1">
      <alignment horizontal="right"/>
    </xf>
    <xf numFmtId="0" fontId="14" fillId="0" borderId="0" xfId="0" applyFont="1" applyBorder="1" applyAlignment="1">
      <alignment horizontal="center" vertical="top"/>
    </xf>
    <xf numFmtId="0" fontId="17" fillId="0" borderId="0" xfId="0" applyFont="1" applyBorder="1" applyAlignment="1">
      <alignment horizontal="left"/>
    </xf>
    <xf numFmtId="0" fontId="17" fillId="0" borderId="0" xfId="0" applyFont="1" applyBorder="1" applyAlignment="1">
      <alignment horizontal="center" vertical="top"/>
    </xf>
    <xf numFmtId="4" fontId="14" fillId="0" borderId="0" xfId="0" applyNumberFormat="1" applyFont="1" applyBorder="1" applyAlignment="1">
      <alignment horizontal="center"/>
    </xf>
    <xf numFmtId="4" fontId="14" fillId="0" borderId="0" xfId="0" applyNumberFormat="1" applyFont="1" applyFill="1" applyBorder="1" applyAlignment="1">
      <alignment horizontal="right"/>
    </xf>
    <xf numFmtId="4" fontId="14" fillId="0" borderId="0" xfId="0" applyNumberFormat="1" applyFont="1" applyBorder="1" applyAlignment="1">
      <alignment horizontal="right"/>
    </xf>
    <xf numFmtId="0" fontId="17" fillId="0" borderId="0" xfId="0" applyFont="1" applyBorder="1" applyAlignment="1">
      <alignment horizontal="center"/>
    </xf>
    <xf numFmtId="0" fontId="12" fillId="0" borderId="0" xfId="0" applyFont="1" applyFill="1" applyBorder="1" applyAlignment="1">
      <alignment horizontal="justify" vertical="top" wrapText="1"/>
    </xf>
    <xf numFmtId="0" fontId="5" fillId="0" borderId="0" xfId="0" applyFont="1" applyBorder="1" applyAlignment="1">
      <alignment horizontal="center"/>
    </xf>
    <xf numFmtId="2" fontId="12" fillId="0" borderId="0" xfId="0" applyNumberFormat="1" applyFont="1" applyFill="1" applyBorder="1" applyAlignment="1">
      <alignment horizontal="center" wrapText="1"/>
    </xf>
    <xf numFmtId="0" fontId="15" fillId="0" borderId="0" xfId="0" applyFont="1" applyFill="1" applyBorder="1" applyAlignment="1">
      <alignment horizontal="justify" wrapText="1"/>
    </xf>
    <xf numFmtId="0" fontId="5" fillId="0" borderId="0" xfId="0" applyFont="1" applyFill="1" applyBorder="1" applyAlignment="1">
      <alignment horizontal="center"/>
    </xf>
    <xf numFmtId="39" fontId="12" fillId="0" borderId="0" xfId="0" applyNumberFormat="1" applyFont="1" applyFill="1" applyBorder="1" applyAlignment="1">
      <alignment horizontal="center" wrapText="1"/>
    </xf>
    <xf numFmtId="0" fontId="18" fillId="0" borderId="0" xfId="0" applyFont="1" applyAlignment="1">
      <alignment horizontal="center" vertical="top"/>
    </xf>
    <xf numFmtId="165" fontId="12" fillId="0" borderId="0" xfId="0" applyNumberFormat="1" applyFont="1" applyFill="1" applyBorder="1" applyAlignment="1">
      <alignment horizontal="center" wrapText="1"/>
    </xf>
    <xf numFmtId="165" fontId="5" fillId="0" borderId="0" xfId="0" applyNumberFormat="1" applyFont="1" applyFill="1" applyBorder="1" applyAlignment="1">
      <alignment horizontal="center" wrapText="1" readingOrder="1"/>
    </xf>
    <xf numFmtId="4" fontId="5" fillId="0" borderId="0" xfId="0" applyNumberFormat="1" applyFont="1" applyFill="1" applyAlignment="1">
      <alignment horizontal="right" wrapText="1"/>
    </xf>
    <xf numFmtId="2" fontId="15" fillId="0" borderId="0" xfId="0" applyNumberFormat="1" applyFont="1" applyAlignment="1">
      <alignment horizontal="center" vertical="top"/>
    </xf>
    <xf numFmtId="0" fontId="6" fillId="0" borderId="0" xfId="0" applyFont="1" applyFill="1" applyAlignment="1">
      <alignment horizontal="justify" vertical="top" wrapText="1"/>
    </xf>
    <xf numFmtId="165" fontId="5" fillId="0" borderId="0" xfId="0" applyNumberFormat="1" applyFont="1" applyFill="1" applyAlignment="1">
      <alignment horizontal="center" wrapText="1"/>
    </xf>
    <xf numFmtId="0" fontId="5" fillId="0" borderId="0" xfId="0" applyFont="1" applyFill="1" applyAlignment="1">
      <alignment horizontal="center" vertical="top" wrapText="1"/>
    </xf>
    <xf numFmtId="0" fontId="6" fillId="0" borderId="0" xfId="0" applyFont="1" applyFill="1" applyAlignment="1">
      <alignment horizontal="center" vertical="top" wrapText="1"/>
    </xf>
    <xf numFmtId="39" fontId="5" fillId="0" borderId="0" xfId="0" applyNumberFormat="1" applyFont="1" applyFill="1" applyAlignment="1">
      <alignment horizontal="center" wrapText="1"/>
    </xf>
    <xf numFmtId="4" fontId="5" fillId="0" borderId="5" xfId="0" applyNumberFormat="1" applyFont="1" applyFill="1" applyBorder="1" applyAlignment="1">
      <alignment horizontal="center" wrapText="1"/>
    </xf>
    <xf numFmtId="0" fontId="18" fillId="0" borderId="0" xfId="0" applyFont="1" applyFill="1" applyBorder="1" applyAlignment="1">
      <alignment horizontal="center"/>
    </xf>
    <xf numFmtId="4" fontId="18" fillId="0" borderId="0" xfId="0" applyNumberFormat="1" applyFont="1" applyFill="1" applyBorder="1" applyAlignment="1">
      <alignment horizontal="center"/>
    </xf>
    <xf numFmtId="4" fontId="18" fillId="0" borderId="0" xfId="0" applyNumberFormat="1" applyFont="1" applyFill="1" applyBorder="1" applyAlignment="1">
      <alignment horizontal="right"/>
    </xf>
    <xf numFmtId="39" fontId="5" fillId="0" borderId="0" xfId="0" applyNumberFormat="1" applyFont="1" applyFill="1" applyBorder="1" applyAlignment="1">
      <alignment horizontal="center" wrapText="1"/>
    </xf>
    <xf numFmtId="4" fontId="5" fillId="0" borderId="5" xfId="0" applyNumberFormat="1" applyFont="1" applyFill="1" applyBorder="1" applyAlignment="1">
      <alignment horizontal="center"/>
    </xf>
    <xf numFmtId="39" fontId="5" fillId="0" borderId="0" xfId="0" applyNumberFormat="1" applyFont="1" applyFill="1" applyAlignment="1">
      <alignment horizontal="center"/>
    </xf>
    <xf numFmtId="4" fontId="5" fillId="0" borderId="0" xfId="0" applyNumberFormat="1" applyFont="1" applyBorder="1" applyAlignment="1">
      <alignment horizontal="right"/>
    </xf>
    <xf numFmtId="4" fontId="5" fillId="0" borderId="0" xfId="0" applyNumberFormat="1" applyFont="1" applyBorder="1" applyAlignment="1">
      <alignment horizontal="center"/>
    </xf>
    <xf numFmtId="0" fontId="5" fillId="2" borderId="3" xfId="0" applyFont="1" applyFill="1" applyBorder="1" applyAlignment="1">
      <alignment horizontal="center"/>
    </xf>
    <xf numFmtId="4" fontId="5" fillId="2" borderId="3" xfId="0" applyNumberFormat="1" applyFont="1" applyFill="1" applyBorder="1" applyAlignment="1">
      <alignment horizontal="center" wrapText="1"/>
    </xf>
    <xf numFmtId="0" fontId="14" fillId="0" borderId="2" xfId="0" applyFont="1" applyBorder="1" applyAlignment="1">
      <alignment horizontal="center" vertical="top"/>
    </xf>
    <xf numFmtId="0" fontId="17" fillId="0" borderId="3" xfId="0" applyFont="1" applyBorder="1" applyAlignment="1">
      <alignment horizontal="center" vertical="top"/>
    </xf>
    <xf numFmtId="4" fontId="14" fillId="0" borderId="3" xfId="0" applyNumberFormat="1" applyFont="1" applyBorder="1" applyAlignment="1">
      <alignment horizontal="center"/>
    </xf>
    <xf numFmtId="4" fontId="14" fillId="0" borderId="3" xfId="0" applyNumberFormat="1" applyFont="1" applyFill="1" applyBorder="1" applyAlignment="1">
      <alignment horizontal="right"/>
    </xf>
    <xf numFmtId="4" fontId="14" fillId="0" borderId="4" xfId="0" applyNumberFormat="1" applyFont="1" applyBorder="1" applyAlignment="1">
      <alignment horizontal="right"/>
    </xf>
    <xf numFmtId="0" fontId="17" fillId="0" borderId="0" xfId="0" applyFont="1" applyFill="1" applyBorder="1" applyAlignment="1">
      <alignment horizontal="center" vertical="top"/>
    </xf>
    <xf numFmtId="0" fontId="19" fillId="0" borderId="0" xfId="0" applyFont="1" applyBorder="1" applyAlignment="1">
      <alignment horizontal="center" vertical="top"/>
    </xf>
    <xf numFmtId="0" fontId="20" fillId="0" borderId="0" xfId="0" applyFont="1" applyBorder="1" applyAlignment="1">
      <alignment horizontal="left"/>
    </xf>
    <xf numFmtId="0" fontId="20" fillId="0" borderId="0" xfId="0" applyFont="1" applyBorder="1" applyAlignment="1">
      <alignment horizontal="center"/>
    </xf>
    <xf numFmtId="4" fontId="19" fillId="0" borderId="0" xfId="0" applyNumberFormat="1" applyFont="1" applyBorder="1" applyAlignment="1">
      <alignment horizontal="center"/>
    </xf>
    <xf numFmtId="4" fontId="19" fillId="0" borderId="0" xfId="0" applyNumberFormat="1" applyFont="1" applyFill="1" applyBorder="1" applyAlignment="1">
      <alignment horizontal="right"/>
    </xf>
    <xf numFmtId="4" fontId="19" fillId="0" borderId="0" xfId="0" applyNumberFormat="1" applyFont="1" applyBorder="1" applyAlignment="1">
      <alignment horizontal="right"/>
    </xf>
    <xf numFmtId="0" fontId="7" fillId="0" borderId="2" xfId="0" applyFont="1" applyBorder="1" applyAlignment="1">
      <alignment horizontal="center" vertical="top"/>
    </xf>
    <xf numFmtId="4" fontId="7" fillId="0" borderId="3" xfId="0" applyNumberFormat="1" applyFont="1" applyBorder="1" applyAlignment="1">
      <alignment horizontal="center"/>
    </xf>
    <xf numFmtId="4" fontId="7" fillId="0" borderId="3" xfId="0" applyNumberFormat="1" applyFont="1" applyFill="1" applyBorder="1" applyAlignment="1">
      <alignment horizontal="right"/>
    </xf>
    <xf numFmtId="4" fontId="7" fillId="0" borderId="4" xfId="0" applyNumberFormat="1" applyFont="1" applyBorder="1" applyAlignment="1">
      <alignment horizontal="right"/>
    </xf>
    <xf numFmtId="0" fontId="7" fillId="0" borderId="0" xfId="0" applyFont="1" applyBorder="1" applyAlignment="1">
      <alignment horizontal="center" vertical="top"/>
    </xf>
    <xf numFmtId="4" fontId="7" fillId="0" borderId="0" xfId="0" applyNumberFormat="1" applyFont="1" applyFill="1" applyBorder="1" applyAlignment="1">
      <alignment horizontal="right"/>
    </xf>
    <xf numFmtId="0" fontId="17" fillId="0" borderId="0" xfId="0" applyFont="1" applyFill="1" applyBorder="1" applyAlignment="1">
      <alignment horizontal="justify" wrapText="1"/>
    </xf>
    <xf numFmtId="0" fontId="17" fillId="0" borderId="0" xfId="0" applyFont="1" applyFill="1" applyBorder="1" applyAlignment="1">
      <alignment horizontal="center"/>
    </xf>
    <xf numFmtId="4" fontId="17" fillId="0" borderId="0" xfId="0" applyNumberFormat="1" applyFont="1" applyFill="1" applyBorder="1" applyAlignment="1">
      <alignment horizontal="right"/>
    </xf>
    <xf numFmtId="0" fontId="6" fillId="0" borderId="0" xfId="0" applyFont="1" applyFill="1" applyBorder="1" applyAlignment="1">
      <alignment horizontal="center" vertical="top"/>
    </xf>
    <xf numFmtId="4" fontId="6" fillId="0" borderId="0" xfId="0" applyNumberFormat="1" applyFont="1" applyFill="1" applyAlignment="1">
      <alignment horizontal="justify" vertical="top" wrapText="1"/>
    </xf>
    <xf numFmtId="0" fontId="5" fillId="0" borderId="0" xfId="0" applyFont="1" applyFill="1" applyBorder="1" applyAlignment="1">
      <alignment horizontal="center" vertical="top"/>
    </xf>
    <xf numFmtId="0" fontId="5" fillId="0" borderId="0" xfId="0" applyFont="1" applyFill="1" applyBorder="1" applyAlignment="1">
      <alignment horizontal="justify" wrapText="1"/>
    </xf>
    <xf numFmtId="4" fontId="6" fillId="0" borderId="0" xfId="0" applyNumberFormat="1" applyFont="1" applyFill="1" applyBorder="1" applyAlignment="1">
      <alignment wrapText="1"/>
    </xf>
    <xf numFmtId="0" fontId="0" fillId="0" borderId="0" xfId="0" applyFill="1"/>
    <xf numFmtId="4" fontId="6" fillId="0" borderId="0" xfId="0" applyNumberFormat="1" applyFont="1" applyFill="1" applyBorder="1" applyAlignment="1">
      <alignment horizontal="justify" wrapText="1"/>
    </xf>
    <xf numFmtId="0" fontId="8" fillId="2" borderId="3" xfId="0" applyFont="1" applyFill="1" applyBorder="1" applyAlignment="1">
      <alignment horizontal="justify"/>
    </xf>
    <xf numFmtId="0" fontId="14" fillId="0" borderId="0" xfId="0" applyFont="1" applyAlignment="1">
      <alignment horizontal="center"/>
    </xf>
    <xf numFmtId="4" fontId="14" fillId="0" borderId="0" xfId="0" applyNumberFormat="1" applyFont="1" applyAlignment="1">
      <alignment horizontal="center" wrapText="1"/>
    </xf>
    <xf numFmtId="0" fontId="7" fillId="0" borderId="2" xfId="0" applyFont="1" applyFill="1" applyBorder="1" applyAlignment="1">
      <alignment horizontal="center" vertical="top"/>
    </xf>
    <xf numFmtId="0" fontId="7" fillId="0" borderId="3" xfId="0" applyFont="1" applyFill="1" applyBorder="1" applyAlignment="1">
      <alignment horizontal="center"/>
    </xf>
    <xf numFmtId="0" fontId="7" fillId="0" borderId="0" xfId="0" applyFont="1" applyFill="1" applyBorder="1" applyAlignment="1">
      <alignment horizontal="center"/>
    </xf>
    <xf numFmtId="4" fontId="7" fillId="0" borderId="0" xfId="0" applyNumberFormat="1" applyFont="1" applyFill="1" applyBorder="1" applyAlignment="1">
      <alignment horizontal="center"/>
    </xf>
    <xf numFmtId="0" fontId="5" fillId="0" borderId="0" xfId="0" applyFont="1" applyFill="1" applyAlignment="1">
      <alignment horizontal="justify" wrapText="1"/>
    </xf>
    <xf numFmtId="0" fontId="7" fillId="0" borderId="0" xfId="0" applyFont="1" applyFill="1" applyBorder="1" applyAlignment="1">
      <alignment horizontal="center" vertical="top"/>
    </xf>
    <xf numFmtId="0" fontId="7" fillId="2" borderId="2" xfId="0" applyFont="1" applyFill="1" applyBorder="1" applyAlignment="1">
      <alignment horizontal="center" vertical="top"/>
    </xf>
    <xf numFmtId="0" fontId="7" fillId="2" borderId="3" xfId="0" applyFont="1" applyFill="1" applyBorder="1" applyAlignment="1">
      <alignment horizontal="center"/>
    </xf>
    <xf numFmtId="4" fontId="7" fillId="2" borderId="3" xfId="0" applyNumberFormat="1" applyFont="1" applyFill="1" applyBorder="1" applyAlignment="1">
      <alignment horizontal="center"/>
    </xf>
    <xf numFmtId="4" fontId="7" fillId="2" borderId="3" xfId="0" applyNumberFormat="1" applyFont="1" applyFill="1" applyBorder="1" applyAlignment="1">
      <alignment horizontal="right"/>
    </xf>
    <xf numFmtId="49" fontId="14" fillId="0" borderId="0" xfId="0" applyNumberFormat="1" applyFont="1" applyFill="1" applyBorder="1" applyAlignment="1">
      <alignment horizontal="center" vertical="top"/>
    </xf>
    <xf numFmtId="0" fontId="5" fillId="0" borderId="0" xfId="0" applyNumberFormat="1" applyFont="1" applyFill="1" applyBorder="1" applyAlignment="1">
      <alignment horizontal="justify" vertical="top" wrapText="1" readingOrder="1"/>
    </xf>
    <xf numFmtId="0" fontId="5" fillId="0" borderId="0" xfId="0" applyNumberFormat="1" applyFont="1" applyFill="1" applyBorder="1" applyAlignment="1">
      <alignment horizontal="center" vertical="top" wrapText="1" readingOrder="1"/>
    </xf>
    <xf numFmtId="0" fontId="5" fillId="0" borderId="0" xfId="0" applyNumberFormat="1" applyFont="1" applyFill="1" applyBorder="1" applyAlignment="1">
      <alignment horizontal="center" wrapText="1" readingOrder="1"/>
    </xf>
    <xf numFmtId="0" fontId="14" fillId="0" borderId="0" xfId="0" applyFont="1" applyFill="1" applyAlignment="1">
      <alignment horizontal="center"/>
    </xf>
    <xf numFmtId="4" fontId="14" fillId="0" borderId="0" xfId="0" applyNumberFormat="1" applyFont="1" applyFill="1" applyBorder="1" applyAlignment="1">
      <alignment horizontal="center" wrapText="1"/>
    </xf>
    <xf numFmtId="0" fontId="8" fillId="0" borderId="3" xfId="0" applyFont="1" applyFill="1" applyBorder="1" applyAlignment="1">
      <alignment horizontal="left" vertical="center"/>
    </xf>
    <xf numFmtId="4" fontId="5" fillId="0" borderId="4" xfId="0" applyNumberFormat="1" applyFont="1" applyFill="1" applyBorder="1" applyAlignment="1">
      <alignment horizontal="right"/>
    </xf>
    <xf numFmtId="0" fontId="0" fillId="0" borderId="0" xfId="0" applyFont="1" applyFill="1"/>
    <xf numFmtId="0" fontId="22" fillId="0" borderId="0" xfId="0" applyFont="1" applyFill="1" applyBorder="1" applyAlignment="1">
      <alignment horizontal="center" vertical="top"/>
    </xf>
    <xf numFmtId="4" fontId="23" fillId="0" borderId="0" xfId="0" applyNumberFormat="1" applyFont="1" applyFill="1" applyBorder="1" applyAlignment="1">
      <alignment horizontal="center" vertical="center" wrapText="1"/>
    </xf>
    <xf numFmtId="4" fontId="23" fillId="0" borderId="0" xfId="0" applyNumberFormat="1" applyFont="1" applyFill="1" applyBorder="1" applyAlignment="1">
      <alignment horizontal="center" wrapText="1"/>
    </xf>
    <xf numFmtId="4" fontId="22" fillId="0" borderId="0" xfId="0" applyNumberFormat="1" applyFont="1" applyFill="1" applyBorder="1" applyAlignment="1">
      <alignment horizontal="right"/>
    </xf>
    <xf numFmtId="0" fontId="22" fillId="0" borderId="0" xfId="0" applyFont="1" applyFill="1" applyAlignment="1">
      <alignment horizontal="center" vertical="top" wrapText="1"/>
    </xf>
    <xf numFmtId="4" fontId="22" fillId="0" borderId="0" xfId="0" applyNumberFormat="1" applyFont="1" applyFill="1" applyBorder="1" applyAlignment="1">
      <alignment horizontal="center"/>
    </xf>
    <xf numFmtId="4" fontId="22" fillId="0" borderId="0" xfId="0" applyNumberFormat="1" applyFont="1" applyFill="1" applyBorder="1" applyAlignment="1">
      <alignment horizontal="center" wrapText="1"/>
    </xf>
    <xf numFmtId="4" fontId="22" fillId="0" borderId="0" xfId="0" applyNumberFormat="1" applyFont="1" applyFill="1" applyAlignment="1">
      <alignment horizontal="right"/>
    </xf>
    <xf numFmtId="4" fontId="6" fillId="0" borderId="0" xfId="0" applyNumberFormat="1" applyFont="1" applyFill="1" applyBorder="1" applyAlignment="1">
      <alignment horizontal="center"/>
    </xf>
    <xf numFmtId="0" fontId="14" fillId="0" borderId="0" xfId="0" applyFont="1"/>
    <xf numFmtId="4" fontId="5" fillId="0" borderId="0" xfId="0" applyNumberFormat="1" applyFont="1" applyFill="1" applyBorder="1" applyAlignment="1">
      <alignment horizontal="justify" vertical="top" wrapText="1"/>
    </xf>
    <xf numFmtId="4" fontId="7" fillId="0" borderId="0" xfId="0" applyNumberFormat="1" applyFont="1" applyFill="1" applyAlignment="1">
      <alignment horizontal="center"/>
    </xf>
    <xf numFmtId="4" fontId="5" fillId="0" borderId="0" xfId="0" applyNumberFormat="1" applyFont="1" applyFill="1" applyAlignment="1"/>
    <xf numFmtId="4" fontId="6" fillId="0" borderId="0" xfId="0" applyNumberFormat="1" applyFont="1" applyFill="1" applyAlignment="1">
      <alignment horizontal="center"/>
    </xf>
    <xf numFmtId="0" fontId="0" fillId="0" borderId="0" xfId="0" applyFont="1"/>
    <xf numFmtId="0" fontId="5" fillId="0" borderId="3" xfId="0" applyFont="1" applyFill="1" applyBorder="1" applyAlignment="1">
      <alignment horizontal="center"/>
    </xf>
    <xf numFmtId="4" fontId="5" fillId="0" borderId="0" xfId="2" applyNumberFormat="1" applyFont="1" applyFill="1" applyBorder="1" applyAlignment="1" applyProtection="1">
      <alignment horizontal="center"/>
    </xf>
    <xf numFmtId="0" fontId="22" fillId="0" borderId="0" xfId="0" applyFont="1" applyFill="1" applyAlignment="1">
      <alignment horizontal="center" vertical="top"/>
    </xf>
    <xf numFmtId="4" fontId="22" fillId="0" borderId="0" xfId="0" applyNumberFormat="1" applyFont="1" applyFill="1" applyAlignment="1">
      <alignment horizontal="center"/>
    </xf>
    <xf numFmtId="4" fontId="22" fillId="0" borderId="0" xfId="0" applyNumberFormat="1" applyFont="1" applyFill="1" applyAlignment="1">
      <alignment horizontal="center" wrapText="1"/>
    </xf>
    <xf numFmtId="4" fontId="30" fillId="0" borderId="0" xfId="0" applyNumberFormat="1" applyFont="1" applyFill="1" applyAlignment="1">
      <alignment horizontal="center"/>
    </xf>
    <xf numFmtId="4" fontId="7" fillId="0" borderId="0" xfId="0" applyNumberFormat="1" applyFont="1" applyFill="1" applyAlignment="1"/>
    <xf numFmtId="0" fontId="31" fillId="0" borderId="0" xfId="0" applyFont="1" applyFill="1"/>
    <xf numFmtId="0" fontId="8" fillId="2" borderId="3" xfId="0" applyFont="1" applyFill="1" applyBorder="1" applyAlignment="1">
      <alignment horizontal="left" vertical="top"/>
    </xf>
    <xf numFmtId="0" fontId="22" fillId="0" borderId="0" xfId="0" applyFont="1" applyAlignment="1">
      <alignment horizontal="center" vertical="top"/>
    </xf>
    <xf numFmtId="4" fontId="22" fillId="0" borderId="0" xfId="0" applyNumberFormat="1" applyFont="1" applyAlignment="1">
      <alignment horizontal="right"/>
    </xf>
    <xf numFmtId="4" fontId="5" fillId="0" borderId="0" xfId="0" applyNumberFormat="1" applyFont="1" applyBorder="1" applyAlignment="1">
      <alignment horizontal="center" wrapText="1"/>
    </xf>
    <xf numFmtId="4" fontId="6" fillId="0" borderId="0" xfId="0" applyNumberFormat="1" applyFont="1" applyBorder="1" applyAlignment="1">
      <alignment horizontal="center"/>
    </xf>
    <xf numFmtId="4" fontId="22" fillId="0" borderId="0" xfId="0" applyNumberFormat="1" applyFont="1" applyBorder="1" applyAlignment="1">
      <alignment horizontal="center"/>
    </xf>
    <xf numFmtId="4" fontId="22" fillId="0" borderId="0" xfId="0" applyNumberFormat="1" applyFont="1" applyBorder="1" applyAlignment="1">
      <alignment horizontal="center" wrapText="1"/>
    </xf>
    <xf numFmtId="0" fontId="5" fillId="0" borderId="0" xfId="0" applyFont="1" applyBorder="1" applyAlignment="1">
      <alignment horizontal="center" vertical="top"/>
    </xf>
    <xf numFmtId="4" fontId="5" fillId="0" borderId="0" xfId="0" applyNumberFormat="1" applyFont="1" applyAlignment="1"/>
    <xf numFmtId="4" fontId="22" fillId="0" borderId="0" xfId="0" applyNumberFormat="1" applyFont="1" applyAlignment="1"/>
    <xf numFmtId="0" fontId="22" fillId="0" borderId="0" xfId="0" applyFont="1"/>
    <xf numFmtId="4" fontId="23" fillId="0" borderId="0" xfId="0" applyNumberFormat="1" applyFont="1" applyFill="1" applyBorder="1" applyAlignment="1">
      <alignment horizontal="justify" vertical="top" wrapText="1"/>
    </xf>
    <xf numFmtId="4" fontId="23" fillId="0" borderId="0" xfId="0" applyNumberFormat="1" applyFont="1" applyFill="1" applyBorder="1" applyAlignment="1">
      <alignment horizontal="center"/>
    </xf>
    <xf numFmtId="4" fontId="6" fillId="0" borderId="0" xfId="0" applyNumberFormat="1" applyFont="1" applyFill="1" applyBorder="1" applyAlignment="1">
      <alignment horizontal="right"/>
    </xf>
    <xf numFmtId="0" fontId="31" fillId="0" borderId="0" xfId="0" applyFont="1" applyFill="1" applyAlignment="1">
      <alignment vertical="top"/>
    </xf>
    <xf numFmtId="4" fontId="6" fillId="0" borderId="0" xfId="0" applyNumberFormat="1" applyFont="1" applyFill="1" applyBorder="1" applyAlignment="1">
      <alignment horizontal="justify" vertical="top" wrapText="1"/>
    </xf>
    <xf numFmtId="0" fontId="32" fillId="0" borderId="0" xfId="0" applyFont="1" applyFill="1" applyAlignment="1">
      <alignment vertical="top"/>
    </xf>
    <xf numFmtId="4" fontId="31" fillId="0" borderId="0" xfId="0" applyNumberFormat="1" applyFont="1" applyAlignment="1">
      <alignment horizontal="center"/>
    </xf>
    <xf numFmtId="4" fontId="22" fillId="0" borderId="0" xfId="0" applyNumberFormat="1" applyFont="1" applyFill="1" applyAlignment="1">
      <alignment horizontal="right" wrapText="1"/>
    </xf>
    <xf numFmtId="4" fontId="6" fillId="0" borderId="0" xfId="0" applyNumberFormat="1" applyFont="1" applyFill="1" applyAlignment="1">
      <alignment horizontal="center" wrapText="1"/>
    </xf>
    <xf numFmtId="4" fontId="22" fillId="0" borderId="0" xfId="0" applyNumberFormat="1" applyFont="1" applyFill="1" applyAlignment="1"/>
    <xf numFmtId="0" fontId="5" fillId="0" borderId="0" xfId="0" applyFont="1" applyFill="1" applyAlignment="1">
      <alignment vertical="top"/>
    </xf>
    <xf numFmtId="4" fontId="31" fillId="0" borderId="0" xfId="0" applyNumberFormat="1" applyFont="1" applyFill="1" applyAlignment="1">
      <alignment horizontal="center"/>
    </xf>
    <xf numFmtId="4" fontId="31" fillId="0" borderId="0" xfId="0" applyNumberFormat="1" applyFont="1" applyFill="1"/>
    <xf numFmtId="0" fontId="3" fillId="0" borderId="0" xfId="0" applyFont="1" applyBorder="1" applyAlignment="1">
      <alignment horizontal="center"/>
    </xf>
    <xf numFmtId="4" fontId="3" fillId="0" borderId="0" xfId="0" applyNumberFormat="1" applyFont="1" applyAlignment="1">
      <alignment horizontal="right"/>
    </xf>
    <xf numFmtId="4" fontId="23" fillId="0" borderId="0" xfId="0" applyNumberFormat="1" applyFont="1" applyFill="1" applyBorder="1" applyAlignment="1">
      <alignment horizontal="left" vertical="top"/>
    </xf>
    <xf numFmtId="4" fontId="5" fillId="0" borderId="0" xfId="0" applyNumberFormat="1" applyFont="1" applyAlignment="1">
      <alignment horizontal="center" wrapText="1"/>
    </xf>
    <xf numFmtId="4" fontId="32" fillId="0" borderId="0" xfId="0" applyNumberFormat="1" applyFont="1" applyFill="1"/>
    <xf numFmtId="4" fontId="32" fillId="0" borderId="0" xfId="0" applyNumberFormat="1" applyFont="1" applyFill="1" applyAlignment="1">
      <alignment horizontal="center"/>
    </xf>
    <xf numFmtId="4" fontId="7" fillId="0" borderId="0" xfId="0" applyNumberFormat="1" applyFont="1" applyFill="1" applyBorder="1" applyAlignment="1">
      <alignment horizontal="center" vertical="top"/>
    </xf>
    <xf numFmtId="4" fontId="5" fillId="0" borderId="0" xfId="0" applyNumberFormat="1" applyFont="1" applyFill="1" applyBorder="1" applyAlignment="1">
      <alignment horizontal="center" wrapText="1" readingOrder="1"/>
    </xf>
    <xf numFmtId="0" fontId="5" fillId="3" borderId="2" xfId="0" applyFont="1" applyFill="1" applyBorder="1" applyAlignment="1">
      <alignment horizontal="center" vertical="top"/>
    </xf>
    <xf numFmtId="0" fontId="8" fillId="3" borderId="3" xfId="0" applyFont="1" applyFill="1" applyBorder="1" applyAlignment="1"/>
    <xf numFmtId="0" fontId="5" fillId="3" borderId="3" xfId="0" applyFont="1" applyFill="1" applyBorder="1" applyAlignment="1">
      <alignment horizontal="center"/>
    </xf>
    <xf numFmtId="4" fontId="5" fillId="3" borderId="3" xfId="0" applyNumberFormat="1" applyFont="1" applyFill="1" applyBorder="1" applyAlignment="1">
      <alignment horizontal="center"/>
    </xf>
    <xf numFmtId="4" fontId="5" fillId="3" borderId="3" xfId="0" applyNumberFormat="1" applyFont="1" applyFill="1" applyBorder="1" applyAlignment="1"/>
    <xf numFmtId="4" fontId="5" fillId="3" borderId="4" xfId="0" applyNumberFormat="1" applyFont="1" applyFill="1" applyBorder="1" applyAlignment="1"/>
    <xf numFmtId="0" fontId="31" fillId="0" borderId="0" xfId="0" applyFont="1"/>
    <xf numFmtId="0" fontId="31" fillId="0" borderId="0" xfId="0" applyFont="1" applyAlignment="1">
      <alignment horizontal="center"/>
    </xf>
    <xf numFmtId="0" fontId="6" fillId="0" borderId="0" xfId="0" applyFont="1" applyAlignment="1">
      <alignment horizontal="center" vertical="top"/>
    </xf>
    <xf numFmtId="4" fontId="5" fillId="2" borderId="3" xfId="0" applyNumberFormat="1" applyFont="1" applyFill="1" applyBorder="1" applyAlignment="1"/>
    <xf numFmtId="4" fontId="7" fillId="2" borderId="4" xfId="0" applyNumberFormat="1" applyFont="1" applyFill="1" applyBorder="1" applyAlignment="1"/>
    <xf numFmtId="0" fontId="15" fillId="0" borderId="0" xfId="0" applyFont="1" applyAlignment="1">
      <alignment horizontal="center" vertical="top"/>
    </xf>
    <xf numFmtId="0" fontId="15" fillId="0" borderId="0" xfId="0" applyFont="1" applyAlignment="1">
      <alignment horizontal="center"/>
    </xf>
    <xf numFmtId="4" fontId="15" fillId="0" borderId="0" xfId="0" applyNumberFormat="1" applyFont="1" applyAlignment="1">
      <alignment horizontal="center"/>
    </xf>
    <xf numFmtId="4" fontId="15" fillId="0" borderId="0" xfId="0" applyNumberFormat="1" applyFont="1" applyAlignment="1">
      <alignment horizontal="right"/>
    </xf>
    <xf numFmtId="4" fontId="33" fillId="0" borderId="0" xfId="0" applyNumberFormat="1" applyFont="1" applyAlignment="1">
      <alignment horizontal="right"/>
    </xf>
    <xf numFmtId="0" fontId="8" fillId="0" borderId="0" xfId="0" applyFont="1" applyAlignment="1">
      <alignment horizontal="justify" vertical="top"/>
    </xf>
    <xf numFmtId="0" fontId="33" fillId="0" borderId="0" xfId="0" applyFont="1" applyAlignment="1">
      <alignment horizontal="justify" vertical="top"/>
    </xf>
    <xf numFmtId="49" fontId="15" fillId="0" borderId="2" xfId="0" applyNumberFormat="1" applyFont="1" applyBorder="1" applyAlignment="1">
      <alignment horizontal="center" vertical="top"/>
    </xf>
    <xf numFmtId="0" fontId="15" fillId="0" borderId="3" xfId="0" applyFont="1" applyBorder="1" applyAlignment="1">
      <alignment horizontal="center"/>
    </xf>
    <xf numFmtId="4" fontId="15" fillId="0" borderId="3" xfId="0" applyNumberFormat="1" applyFont="1" applyBorder="1" applyAlignment="1">
      <alignment horizontal="center"/>
    </xf>
    <xf numFmtId="4" fontId="33" fillId="0" borderId="3" xfId="0" applyNumberFormat="1" applyFont="1" applyFill="1" applyBorder="1" applyAlignment="1">
      <alignment horizontal="center"/>
    </xf>
    <xf numFmtId="4" fontId="33" fillId="0" borderId="4" xfId="0" applyNumberFormat="1" applyFont="1" applyFill="1" applyBorder="1" applyAlignment="1">
      <alignment horizontal="center"/>
    </xf>
    <xf numFmtId="0" fontId="15" fillId="0" borderId="0" xfId="0" applyFont="1" applyFill="1" applyAlignment="1">
      <alignment horizontal="center" vertical="top"/>
    </xf>
    <xf numFmtId="0" fontId="37" fillId="0" borderId="0" xfId="0" applyFont="1" applyFill="1" applyBorder="1" applyAlignment="1">
      <alignment horizontal="left" vertical="top"/>
    </xf>
    <xf numFmtId="0" fontId="38" fillId="0" borderId="0" xfId="0" applyFont="1" applyFill="1" applyBorder="1" applyAlignment="1">
      <alignment horizontal="center" vertical="center"/>
    </xf>
    <xf numFmtId="4" fontId="38" fillId="0" borderId="0" xfId="0" applyNumberFormat="1" applyFont="1" applyFill="1" applyBorder="1" applyAlignment="1">
      <alignment horizontal="center" vertical="center"/>
    </xf>
    <xf numFmtId="4" fontId="38" fillId="0" borderId="0" xfId="0" applyNumberFormat="1" applyFont="1" applyFill="1" applyBorder="1" applyAlignment="1">
      <alignment horizontal="right" vertical="center" wrapText="1"/>
    </xf>
    <xf numFmtId="49" fontId="15" fillId="0" borderId="0" xfId="0" applyNumberFormat="1" applyFont="1" applyFill="1" applyBorder="1" applyAlignment="1">
      <alignment horizontal="center" vertical="top"/>
    </xf>
    <xf numFmtId="0" fontId="6" fillId="0" borderId="0" xfId="0" applyFont="1" applyBorder="1" applyAlignment="1">
      <alignment horizontal="center"/>
    </xf>
    <xf numFmtId="0" fontId="15" fillId="0" borderId="0" xfId="0" applyFont="1" applyFill="1" applyBorder="1" applyAlignment="1">
      <alignment horizontal="center" wrapText="1"/>
    </xf>
    <xf numFmtId="4" fontId="15" fillId="0" borderId="0" xfId="0" applyNumberFormat="1" applyFont="1" applyFill="1" applyBorder="1" applyAlignment="1">
      <alignment horizontal="center"/>
    </xf>
    <xf numFmtId="4" fontId="15" fillId="0" borderId="0" xfId="0" applyNumberFormat="1" applyFont="1" applyFill="1" applyBorder="1" applyAlignment="1">
      <alignment horizontal="right"/>
    </xf>
    <xf numFmtId="39" fontId="5" fillId="0" borderId="0" xfId="0" applyNumberFormat="1" applyFont="1" applyFill="1" applyBorder="1" applyAlignment="1">
      <alignment horizontal="center" vertical="top" wrapText="1"/>
    </xf>
    <xf numFmtId="49" fontId="15" fillId="2" borderId="2" xfId="0" applyNumberFormat="1" applyFont="1" applyFill="1" applyBorder="1" applyAlignment="1">
      <alignment horizontal="center" vertical="top"/>
    </xf>
    <xf numFmtId="0" fontId="8" fillId="2" borderId="3" xfId="0" applyFont="1" applyFill="1" applyBorder="1" applyAlignment="1">
      <alignment horizontal="justify" vertical="top"/>
    </xf>
    <xf numFmtId="0" fontId="33" fillId="2" borderId="3" xfId="0" applyFont="1" applyFill="1" applyBorder="1" applyAlignment="1">
      <alignment horizontal="center"/>
    </xf>
    <xf numFmtId="4" fontId="33" fillId="2" borderId="3" xfId="0" applyNumberFormat="1" applyFont="1" applyFill="1" applyBorder="1" applyAlignment="1">
      <alignment horizontal="center"/>
    </xf>
    <xf numFmtId="4" fontId="33" fillId="2" borderId="3" xfId="0" applyNumberFormat="1" applyFont="1" applyFill="1" applyBorder="1" applyAlignment="1">
      <alignment horizontal="right"/>
    </xf>
    <xf numFmtId="4" fontId="33" fillId="2" borderId="4" xfId="0" applyNumberFormat="1" applyFont="1" applyFill="1" applyBorder="1" applyAlignment="1">
      <alignment horizontal="right"/>
    </xf>
    <xf numFmtId="49" fontId="36" fillId="0" borderId="0" xfId="0" applyNumberFormat="1" applyFont="1" applyAlignment="1">
      <alignment horizontal="center" vertical="top"/>
    </xf>
    <xf numFmtId="0" fontId="39" fillId="0" borderId="0" xfId="0" applyFont="1" applyFill="1" applyBorder="1" applyAlignment="1">
      <alignment horizontal="justify" vertical="top"/>
    </xf>
    <xf numFmtId="0" fontId="39" fillId="0" borderId="0" xfId="0" applyFont="1" applyFill="1" applyBorder="1" applyAlignment="1">
      <alignment horizontal="center"/>
    </xf>
    <xf numFmtId="4" fontId="39" fillId="0" borderId="0" xfId="0" applyNumberFormat="1" applyFont="1" applyFill="1" applyBorder="1" applyAlignment="1">
      <alignment horizontal="center"/>
    </xf>
    <xf numFmtId="4" fontId="39" fillId="0" borderId="0" xfId="0" applyNumberFormat="1" applyFont="1" applyFill="1" applyBorder="1" applyAlignment="1">
      <alignment horizontal="right"/>
    </xf>
    <xf numFmtId="49" fontId="36" fillId="0" borderId="2" xfId="0" applyNumberFormat="1" applyFont="1" applyBorder="1" applyAlignment="1">
      <alignment horizontal="center" vertical="top"/>
    </xf>
    <xf numFmtId="0" fontId="36" fillId="0" borderId="3" xfId="0" applyFont="1" applyFill="1" applyBorder="1" applyAlignment="1">
      <alignment horizontal="center"/>
    </xf>
    <xf numFmtId="4" fontId="36" fillId="0" borderId="3" xfId="0" applyNumberFormat="1" applyFont="1" applyFill="1" applyBorder="1" applyAlignment="1">
      <alignment horizontal="center"/>
    </xf>
    <xf numFmtId="4" fontId="36" fillId="0" borderId="3" xfId="0" applyNumberFormat="1" applyFont="1" applyFill="1" applyBorder="1" applyAlignment="1">
      <alignment horizontal="right"/>
    </xf>
    <xf numFmtId="4" fontId="39" fillId="0" borderId="4" xfId="0" applyNumberFormat="1" applyFont="1" applyFill="1" applyBorder="1" applyAlignment="1">
      <alignment horizontal="right"/>
    </xf>
    <xf numFmtId="0" fontId="36" fillId="0" borderId="0" xfId="0" applyFont="1" applyFill="1" applyBorder="1" applyAlignment="1">
      <alignment horizontal="center" vertical="top"/>
    </xf>
    <xf numFmtId="0" fontId="36" fillId="0" borderId="0" xfId="0" applyFont="1" applyFill="1" applyBorder="1" applyAlignment="1">
      <alignment horizontal="center"/>
    </xf>
    <xf numFmtId="4" fontId="36" fillId="0" borderId="0" xfId="0" applyNumberFormat="1" applyFont="1" applyFill="1" applyBorder="1" applyAlignment="1">
      <alignment horizontal="center"/>
    </xf>
    <xf numFmtId="4" fontId="36" fillId="0" borderId="0" xfId="0" applyNumberFormat="1" applyFont="1" applyFill="1" applyBorder="1" applyAlignment="1">
      <alignment horizontal="right"/>
    </xf>
    <xf numFmtId="0" fontId="36" fillId="0" borderId="0" xfId="0" applyFont="1" applyBorder="1" applyAlignment="1">
      <alignment horizontal="center" vertical="top"/>
    </xf>
    <xf numFmtId="0" fontId="15" fillId="0" borderId="0" xfId="0" applyFont="1" applyFill="1" applyBorder="1" applyAlignment="1">
      <alignment horizontal="center"/>
    </xf>
    <xf numFmtId="49" fontId="36" fillId="2" borderId="2" xfId="0" applyNumberFormat="1" applyFont="1" applyFill="1" applyBorder="1" applyAlignment="1">
      <alignment horizontal="center" vertical="top"/>
    </xf>
    <xf numFmtId="0" fontId="39" fillId="2" borderId="3" xfId="0" applyFont="1" applyFill="1" applyBorder="1" applyAlignment="1">
      <alignment horizontal="center"/>
    </xf>
    <xf numFmtId="4" fontId="39" fillId="2" borderId="3" xfId="0" applyNumberFormat="1" applyFont="1" applyFill="1" applyBorder="1" applyAlignment="1">
      <alignment horizontal="center"/>
    </xf>
    <xf numFmtId="4" fontId="39" fillId="2" borderId="3" xfId="0" applyNumberFormat="1" applyFont="1" applyFill="1" applyBorder="1" applyAlignment="1">
      <alignment horizontal="right"/>
    </xf>
    <xf numFmtId="0" fontId="42" fillId="0" borderId="2" xfId="0" applyFont="1" applyBorder="1" applyAlignment="1">
      <alignment horizontal="center" vertical="top"/>
    </xf>
    <xf numFmtId="0" fontId="43" fillId="0" borderId="3" xfId="0" applyFont="1" applyBorder="1" applyAlignment="1">
      <alignment horizontal="center" vertical="top"/>
    </xf>
    <xf numFmtId="4" fontId="42" fillId="0" borderId="3" xfId="0" applyNumberFormat="1" applyFont="1" applyBorder="1" applyAlignment="1">
      <alignment horizontal="center"/>
    </xf>
    <xf numFmtId="4" fontId="42" fillId="0" borderId="3" xfId="0" applyNumberFormat="1" applyFont="1" applyFill="1" applyBorder="1" applyAlignment="1">
      <alignment horizontal="right"/>
    </xf>
    <xf numFmtId="4" fontId="42" fillId="0" borderId="4" xfId="0" applyNumberFormat="1" applyFont="1" applyBorder="1" applyAlignment="1">
      <alignment horizontal="right"/>
    </xf>
    <xf numFmtId="0" fontId="44" fillId="0" borderId="0" xfId="0" applyFont="1" applyBorder="1" applyAlignment="1">
      <alignment horizontal="center" vertical="top"/>
    </xf>
    <xf numFmtId="0" fontId="45" fillId="0" borderId="0" xfId="0" applyFont="1" applyBorder="1" applyAlignment="1">
      <alignment horizontal="center"/>
    </xf>
    <xf numFmtId="4" fontId="44" fillId="0" borderId="0" xfId="0" applyNumberFormat="1" applyFont="1" applyBorder="1" applyAlignment="1">
      <alignment horizontal="center"/>
    </xf>
    <xf numFmtId="4" fontId="44" fillId="0" borderId="0" xfId="0" applyNumberFormat="1" applyFont="1" applyFill="1" applyBorder="1" applyAlignment="1">
      <alignment horizontal="right"/>
    </xf>
    <xf numFmtId="4" fontId="44" fillId="0" borderId="0" xfId="0" applyNumberFormat="1" applyFont="1" applyBorder="1" applyAlignment="1">
      <alignment horizontal="right"/>
    </xf>
    <xf numFmtId="0" fontId="42" fillId="2" borderId="2" xfId="0" applyFont="1" applyFill="1" applyBorder="1" applyAlignment="1">
      <alignment horizontal="center" vertical="top"/>
    </xf>
    <xf numFmtId="0" fontId="42" fillId="2" borderId="3" xfId="0" applyFont="1" applyFill="1" applyBorder="1" applyAlignment="1">
      <alignment horizontal="center"/>
    </xf>
    <xf numFmtId="4" fontId="42" fillId="2" borderId="3" xfId="0" applyNumberFormat="1" applyFont="1" applyFill="1" applyBorder="1" applyAlignment="1">
      <alignment horizontal="center" vertical="top" wrapText="1"/>
    </xf>
    <xf numFmtId="4" fontId="42" fillId="2" borderId="3" xfId="0" applyNumberFormat="1" applyFont="1" applyFill="1" applyBorder="1" applyAlignment="1">
      <alignment horizontal="right"/>
    </xf>
    <xf numFmtId="49" fontId="15" fillId="0" borderId="0" xfId="0" applyNumberFormat="1" applyFont="1" applyAlignment="1">
      <alignment horizontal="center" vertical="top"/>
    </xf>
    <xf numFmtId="0" fontId="15" fillId="0" borderId="0" xfId="0" applyFont="1" applyBorder="1" applyAlignment="1">
      <alignment horizontal="center"/>
    </xf>
    <xf numFmtId="4" fontId="15" fillId="0" borderId="0" xfId="0" applyNumberFormat="1" applyFont="1" applyBorder="1" applyAlignment="1">
      <alignment horizontal="center"/>
    </xf>
    <xf numFmtId="49" fontId="6" fillId="0" borderId="0" xfId="0" applyNumberFormat="1" applyFont="1" applyAlignment="1">
      <alignment horizontal="center" vertical="top"/>
    </xf>
    <xf numFmtId="0" fontId="33" fillId="0" borderId="0" xfId="0" applyFont="1" applyFill="1" applyBorder="1" applyAlignment="1">
      <alignment horizontal="center"/>
    </xf>
    <xf numFmtId="4" fontId="33" fillId="0" borderId="0" xfId="0" applyNumberFormat="1" applyFont="1" applyFill="1" applyBorder="1" applyAlignment="1">
      <alignment horizontal="center"/>
    </xf>
    <xf numFmtId="4" fontId="33" fillId="0" borderId="0" xfId="0" applyNumberFormat="1" applyFont="1" applyFill="1" applyBorder="1" applyAlignment="1">
      <alignment horizontal="right"/>
    </xf>
    <xf numFmtId="0" fontId="15" fillId="2" borderId="3" xfId="0" applyFont="1" applyFill="1" applyBorder="1" applyAlignment="1">
      <alignment horizontal="center"/>
    </xf>
    <xf numFmtId="4" fontId="15" fillId="2" borderId="3" xfId="0" applyNumberFormat="1" applyFont="1" applyFill="1" applyBorder="1" applyAlignment="1">
      <alignment horizontal="center"/>
    </xf>
    <xf numFmtId="4" fontId="15" fillId="2" borderId="3" xfId="0" applyNumberFormat="1" applyFont="1" applyFill="1" applyBorder="1" applyAlignment="1">
      <alignment horizontal="right"/>
    </xf>
    <xf numFmtId="0" fontId="15" fillId="0" borderId="0" xfId="0" applyFont="1" applyFill="1" applyBorder="1" applyAlignment="1">
      <alignment horizontal="center" vertical="top"/>
    </xf>
    <xf numFmtId="4" fontId="15" fillId="0" borderId="0" xfId="0" applyNumberFormat="1" applyFont="1" applyFill="1" applyBorder="1" applyAlignment="1">
      <alignment horizontal="center" wrapText="1"/>
    </xf>
    <xf numFmtId="4" fontId="15" fillId="0" borderId="0" xfId="0" applyNumberFormat="1" applyFont="1" applyFill="1" applyAlignment="1">
      <alignment horizontal="right"/>
    </xf>
    <xf numFmtId="0" fontId="33" fillId="0" borderId="0" xfId="0" applyFont="1" applyFill="1" applyBorder="1" applyAlignment="1">
      <alignment horizontal="center" vertical="top"/>
    </xf>
    <xf numFmtId="0" fontId="15" fillId="0" borderId="0" xfId="0" applyFont="1" applyBorder="1" applyAlignment="1">
      <alignment horizontal="center" vertical="top"/>
    </xf>
    <xf numFmtId="0" fontId="6" fillId="0" borderId="0" xfId="0" applyFont="1" applyBorder="1" applyAlignment="1">
      <alignment horizontal="center" vertical="top"/>
    </xf>
    <xf numFmtId="4" fontId="33" fillId="0" borderId="3" xfId="0" applyNumberFormat="1" applyFont="1" applyFill="1" applyBorder="1" applyAlignment="1">
      <alignment horizontal="right"/>
    </xf>
    <xf numFmtId="4" fontId="33" fillId="0" borderId="4" xfId="0" applyNumberFormat="1" applyFont="1" applyFill="1" applyBorder="1" applyAlignment="1">
      <alignment horizontal="right"/>
    </xf>
    <xf numFmtId="0" fontId="36" fillId="0" borderId="0" xfId="0" applyFont="1" applyFill="1" applyBorder="1" applyAlignment="1">
      <alignment horizontal="justify" vertical="top"/>
    </xf>
    <xf numFmtId="0" fontId="33" fillId="0" borderId="0" xfId="0" applyFont="1" applyBorder="1" applyAlignment="1">
      <alignment horizontal="center" vertical="top"/>
    </xf>
    <xf numFmtId="4" fontId="15" fillId="0" borderId="0" xfId="0" applyNumberFormat="1" applyFont="1" applyBorder="1" applyAlignment="1">
      <alignment horizontal="right"/>
    </xf>
    <xf numFmtId="49" fontId="6" fillId="0" borderId="0" xfId="0" applyNumberFormat="1" applyFont="1" applyFill="1" applyAlignment="1">
      <alignment horizontal="center" vertical="top"/>
    </xf>
    <xf numFmtId="165" fontId="15" fillId="0" borderId="0" xfId="0" applyNumberFormat="1" applyFont="1" applyFill="1" applyAlignment="1">
      <alignment horizontal="center" wrapText="1"/>
    </xf>
    <xf numFmtId="4" fontId="15" fillId="0" borderId="0" xfId="0" applyNumberFormat="1" applyFont="1" applyFill="1" applyAlignment="1">
      <alignment horizontal="center"/>
    </xf>
    <xf numFmtId="0" fontId="44" fillId="0" borderId="2" xfId="0" applyFont="1" applyFill="1" applyBorder="1" applyAlignment="1">
      <alignment horizontal="center" vertical="top"/>
    </xf>
    <xf numFmtId="0" fontId="45" fillId="0" borderId="3" xfId="0" applyFont="1" applyFill="1" applyBorder="1" applyAlignment="1">
      <alignment horizontal="center"/>
    </xf>
    <xf numFmtId="4" fontId="44" fillId="0" borderId="3" xfId="0" applyNumberFormat="1" applyFont="1" applyFill="1" applyBorder="1" applyAlignment="1">
      <alignment horizontal="center"/>
    </xf>
    <xf numFmtId="4" fontId="44" fillId="0" borderId="3" xfId="0" applyNumberFormat="1" applyFont="1" applyFill="1" applyBorder="1" applyAlignment="1">
      <alignment horizontal="right"/>
    </xf>
    <xf numFmtId="4" fontId="44" fillId="0" borderId="4" xfId="0" applyNumberFormat="1" applyFont="1" applyFill="1" applyBorder="1" applyAlignment="1">
      <alignment horizontal="right"/>
    </xf>
    <xf numFmtId="0" fontId="44" fillId="0" borderId="0" xfId="0" applyFont="1" applyFill="1" applyBorder="1" applyAlignment="1">
      <alignment horizontal="center" vertical="top"/>
    </xf>
    <xf numFmtId="0" fontId="45" fillId="0" borderId="0" xfId="0" applyFont="1" applyFill="1" applyBorder="1" applyAlignment="1">
      <alignment horizontal="center"/>
    </xf>
    <xf numFmtId="4" fontId="44" fillId="0" borderId="0" xfId="0" applyNumberFormat="1" applyFont="1" applyFill="1" applyBorder="1" applyAlignment="1">
      <alignment horizontal="center"/>
    </xf>
    <xf numFmtId="0" fontId="44" fillId="2" borderId="2" xfId="0" applyFont="1" applyFill="1" applyBorder="1" applyAlignment="1">
      <alignment horizontal="center" vertical="top"/>
    </xf>
    <xf numFmtId="0" fontId="44" fillId="2" borderId="3" xfId="0" applyFont="1" applyFill="1" applyBorder="1" applyAlignment="1">
      <alignment horizontal="center"/>
    </xf>
    <xf numFmtId="4" fontId="44" fillId="2" borderId="3" xfId="0" applyNumberFormat="1" applyFont="1" applyFill="1" applyBorder="1" applyAlignment="1">
      <alignment horizontal="center" wrapText="1"/>
    </xf>
    <xf numFmtId="4" fontId="44" fillId="2" borderId="3" xfId="0" applyNumberFormat="1" applyFont="1" applyFill="1" applyBorder="1" applyAlignment="1">
      <alignment horizontal="right"/>
    </xf>
    <xf numFmtId="0" fontId="33" fillId="0" borderId="3" xfId="0" applyFont="1" applyFill="1" applyBorder="1" applyAlignment="1">
      <alignment horizontal="center"/>
    </xf>
    <xf numFmtId="4" fontId="15" fillId="0" borderId="0" xfId="0" applyNumberFormat="1" applyFont="1" applyFill="1" applyAlignment="1"/>
    <xf numFmtId="0" fontId="39" fillId="0" borderId="0" xfId="0" applyFont="1" applyFill="1" applyAlignment="1">
      <alignment horizontal="justify" vertical="top" wrapText="1"/>
    </xf>
    <xf numFmtId="4" fontId="31" fillId="0" borderId="0" xfId="0" applyNumberFormat="1" applyFont="1" applyFill="1" applyAlignment="1"/>
    <xf numFmtId="49" fontId="36" fillId="0" borderId="0" xfId="0" applyNumberFormat="1" applyFont="1" applyFill="1" applyAlignment="1">
      <alignment horizontal="center" vertical="top"/>
    </xf>
    <xf numFmtId="0" fontId="36" fillId="0" borderId="0" xfId="0" applyFont="1" applyFill="1" applyBorder="1" applyAlignment="1">
      <alignment horizontal="justify" vertical="top" wrapText="1"/>
    </xf>
    <xf numFmtId="4" fontId="36" fillId="0" borderId="0" xfId="0" applyNumberFormat="1" applyFont="1" applyFill="1" applyBorder="1" applyAlignment="1">
      <alignment horizontal="center" wrapText="1"/>
    </xf>
    <xf numFmtId="0" fontId="36" fillId="0" borderId="0" xfId="0" applyFont="1" applyFill="1" applyAlignment="1">
      <alignment horizontal="justify" vertical="top" wrapText="1"/>
    </xf>
    <xf numFmtId="0" fontId="15" fillId="0" borderId="0" xfId="0" applyFont="1" applyFill="1" applyAlignment="1">
      <alignment horizontal="center" vertical="top" wrapText="1"/>
    </xf>
    <xf numFmtId="4" fontId="15" fillId="0" borderId="0" xfId="0" applyNumberFormat="1" applyFont="1" applyFill="1" applyAlignment="1">
      <alignment horizontal="center" wrapText="1"/>
    </xf>
    <xf numFmtId="4" fontId="15" fillId="0" borderId="0" xfId="0" applyNumberFormat="1" applyFont="1" applyFill="1" applyAlignment="1">
      <alignment horizontal="right" wrapText="1"/>
    </xf>
    <xf numFmtId="0" fontId="36" fillId="0" borderId="0" xfId="0" applyFont="1" applyFill="1" applyAlignment="1">
      <alignment horizontal="center" vertical="top" wrapText="1"/>
    </xf>
    <xf numFmtId="0" fontId="36" fillId="0" borderId="0" xfId="0" applyFont="1" applyFill="1" applyAlignment="1">
      <alignment horizontal="justify" vertical="top"/>
    </xf>
    <xf numFmtId="0" fontId="15" fillId="0" borderId="0" xfId="0" applyFont="1" applyFill="1" applyAlignment="1">
      <alignment horizontal="center"/>
    </xf>
    <xf numFmtId="4" fontId="36" fillId="0" borderId="0" xfId="0" applyNumberFormat="1" applyFont="1" applyFill="1" applyAlignment="1">
      <alignment horizontal="right" wrapText="1"/>
    </xf>
    <xf numFmtId="0" fontId="5" fillId="0" borderId="0" xfId="0" applyFont="1" applyAlignment="1">
      <alignment horizontal="justify" wrapText="1"/>
    </xf>
    <xf numFmtId="0" fontId="15" fillId="0" borderId="2" xfId="0" applyFont="1" applyFill="1" applyBorder="1" applyAlignment="1">
      <alignment horizontal="center" vertical="top"/>
    </xf>
    <xf numFmtId="4" fontId="15" fillId="0" borderId="3" xfId="0" applyNumberFormat="1" applyFont="1" applyFill="1" applyBorder="1" applyAlignment="1">
      <alignment horizontal="center"/>
    </xf>
    <xf numFmtId="4" fontId="15" fillId="0" borderId="3" xfId="0" applyNumberFormat="1" applyFont="1" applyFill="1" applyBorder="1" applyAlignment="1">
      <alignment horizontal="right"/>
    </xf>
    <xf numFmtId="4" fontId="15" fillId="0" borderId="4" xfId="0" applyNumberFormat="1" applyFont="1" applyFill="1" applyBorder="1" applyAlignment="1">
      <alignment horizontal="right"/>
    </xf>
    <xf numFmtId="0" fontId="36" fillId="0" borderId="0" xfId="0" applyFont="1" applyFill="1" applyAlignment="1">
      <alignment horizontal="center" vertical="top"/>
    </xf>
    <xf numFmtId="0" fontId="36" fillId="0" borderId="0" xfId="0" applyFont="1" applyFill="1" applyAlignment="1">
      <alignment horizontal="left" wrapText="1"/>
    </xf>
    <xf numFmtId="4" fontId="46" fillId="0" borderId="0" xfId="0" applyNumberFormat="1" applyFont="1" applyFill="1" applyBorder="1" applyAlignment="1">
      <alignment horizontal="center"/>
    </xf>
    <xf numFmtId="4" fontId="15" fillId="0" borderId="0" xfId="0" applyNumberFormat="1" applyFont="1" applyFill="1" applyBorder="1" applyAlignment="1"/>
    <xf numFmtId="0" fontId="15" fillId="2" borderId="2" xfId="0" applyFont="1" applyFill="1" applyBorder="1" applyAlignment="1">
      <alignment horizontal="center" vertical="top"/>
    </xf>
    <xf numFmtId="4" fontId="15" fillId="2" borderId="3" xfId="0" applyNumberFormat="1" applyFont="1" applyFill="1" applyBorder="1" applyAlignment="1">
      <alignment horizontal="center" wrapText="1"/>
    </xf>
    <xf numFmtId="0" fontId="36" fillId="0" borderId="0" xfId="0" applyFont="1" applyBorder="1" applyAlignment="1">
      <alignment horizontal="center"/>
    </xf>
    <xf numFmtId="4" fontId="36" fillId="0" borderId="0" xfId="0" applyNumberFormat="1" applyFont="1" applyBorder="1" applyAlignment="1">
      <alignment horizontal="center"/>
    </xf>
    <xf numFmtId="0" fontId="6" fillId="0" borderId="0" xfId="0" applyFont="1" applyBorder="1" applyAlignment="1">
      <alignment horizontal="justify" vertical="top" wrapText="1"/>
    </xf>
    <xf numFmtId="0" fontId="39" fillId="0" borderId="0" xfId="0" applyFont="1" applyBorder="1" applyAlignment="1">
      <alignment horizontal="justify" vertical="top" wrapText="1"/>
    </xf>
    <xf numFmtId="4" fontId="15" fillId="2" borderId="4" xfId="0" applyNumberFormat="1" applyFont="1" applyFill="1" applyBorder="1" applyAlignment="1">
      <alignment horizontal="right"/>
    </xf>
    <xf numFmtId="0" fontId="8" fillId="0" borderId="0" xfId="0" applyFont="1" applyAlignment="1">
      <alignment horizontal="justify"/>
    </xf>
    <xf numFmtId="49" fontId="33" fillId="2" borderId="2" xfId="0" applyNumberFormat="1" applyFont="1" applyFill="1" applyBorder="1" applyAlignment="1">
      <alignment horizontal="center" vertical="top"/>
    </xf>
    <xf numFmtId="0" fontId="42" fillId="0" borderId="0" xfId="0" applyFont="1" applyAlignment="1">
      <alignment horizontal="center" vertical="top"/>
    </xf>
    <xf numFmtId="0" fontId="32" fillId="0" borderId="0" xfId="0" applyFont="1"/>
    <xf numFmtId="4" fontId="42" fillId="0" borderId="0" xfId="0" applyNumberFormat="1" applyFont="1" applyAlignment="1">
      <alignment horizontal="center"/>
    </xf>
    <xf numFmtId="4" fontId="42" fillId="0" borderId="0" xfId="0" applyNumberFormat="1" applyFont="1" applyAlignment="1">
      <alignment horizontal="right"/>
    </xf>
    <xf numFmtId="4" fontId="43" fillId="0" borderId="0" xfId="0" applyNumberFormat="1" applyFont="1" applyAlignment="1">
      <alignment horizontal="right"/>
    </xf>
    <xf numFmtId="49" fontId="42" fillId="0" borderId="2" xfId="0" applyNumberFormat="1" applyFont="1" applyBorder="1" applyAlignment="1">
      <alignment horizontal="center" vertical="top"/>
    </xf>
    <xf numFmtId="49" fontId="42" fillId="0" borderId="0" xfId="0" applyNumberFormat="1" applyFont="1" applyBorder="1" applyAlignment="1">
      <alignment horizontal="center" vertical="top"/>
    </xf>
    <xf numFmtId="0" fontId="33" fillId="0" borderId="0" xfId="0" applyFont="1" applyBorder="1" applyAlignment="1">
      <alignment horizontal="justify" wrapText="1"/>
    </xf>
    <xf numFmtId="0" fontId="43" fillId="0" borderId="0" xfId="0" applyFont="1" applyBorder="1" applyAlignment="1">
      <alignment horizontal="justify" wrapText="1"/>
    </xf>
    <xf numFmtId="0" fontId="42" fillId="0" borderId="0" xfId="0" applyFont="1" applyBorder="1" applyAlignment="1">
      <alignment horizontal="center"/>
    </xf>
    <xf numFmtId="4" fontId="42" fillId="0" borderId="0" xfId="0" applyNumberFormat="1" applyFont="1" applyBorder="1" applyAlignment="1">
      <alignment horizontal="center"/>
    </xf>
    <xf numFmtId="4" fontId="43" fillId="0" borderId="0" xfId="0" applyNumberFormat="1" applyFont="1" applyFill="1" applyBorder="1" applyAlignment="1">
      <alignment horizontal="center"/>
    </xf>
    <xf numFmtId="49" fontId="22" fillId="0" borderId="0" xfId="0" applyNumberFormat="1" applyFont="1" applyFill="1" applyBorder="1" applyAlignment="1">
      <alignment horizontal="center" vertical="top"/>
    </xf>
    <xf numFmtId="0" fontId="22" fillId="0" borderId="0" xfId="0" applyFont="1" applyFill="1" applyBorder="1" applyAlignment="1">
      <alignment horizontal="justify" vertical="top" wrapText="1"/>
    </xf>
    <xf numFmtId="0" fontId="22" fillId="0" borderId="0" xfId="0" applyFont="1" applyFill="1" applyBorder="1" applyAlignment="1">
      <alignment horizontal="center"/>
    </xf>
    <xf numFmtId="0" fontId="22" fillId="0" borderId="0" xfId="0" applyFont="1" applyFill="1" applyBorder="1" applyAlignment="1">
      <alignment horizontal="center" wrapText="1"/>
    </xf>
    <xf numFmtId="49" fontId="42" fillId="0" borderId="0" xfId="0" applyNumberFormat="1" applyFont="1" applyAlignment="1">
      <alignment horizontal="center" vertical="top"/>
    </xf>
    <xf numFmtId="0" fontId="43" fillId="0" borderId="0" xfId="0" applyFont="1" applyFill="1" applyBorder="1" applyAlignment="1">
      <alignment horizontal="justify" vertical="top"/>
    </xf>
    <xf numFmtId="0" fontId="43" fillId="0" borderId="0" xfId="0" applyFont="1" applyFill="1" applyBorder="1" applyAlignment="1">
      <alignment horizontal="center"/>
    </xf>
    <xf numFmtId="4" fontId="43" fillId="0" borderId="0" xfId="0" applyNumberFormat="1" applyFont="1" applyFill="1" applyBorder="1" applyAlignment="1">
      <alignment horizontal="right"/>
    </xf>
    <xf numFmtId="0" fontId="42" fillId="0" borderId="0" xfId="0" applyFont="1" applyFill="1" applyBorder="1" applyAlignment="1">
      <alignment horizontal="center" vertical="top"/>
    </xf>
    <xf numFmtId="0" fontId="49" fillId="0" borderId="0" xfId="0" applyFont="1" applyFill="1" applyBorder="1" applyAlignment="1">
      <alignment horizontal="left" vertical="top"/>
    </xf>
    <xf numFmtId="0" fontId="42" fillId="0" borderId="0" xfId="0" applyFont="1" applyFill="1" applyBorder="1" applyAlignment="1">
      <alignment horizontal="center"/>
    </xf>
    <xf numFmtId="4" fontId="42" fillId="0" borderId="0" xfId="0" applyNumberFormat="1" applyFont="1" applyFill="1" applyBorder="1" applyAlignment="1">
      <alignment horizontal="center"/>
    </xf>
    <xf numFmtId="4" fontId="42" fillId="0" borderId="0" xfId="0" applyNumberFormat="1" applyFont="1" applyFill="1" applyBorder="1" applyAlignment="1">
      <alignment horizontal="right"/>
    </xf>
    <xf numFmtId="0" fontId="23" fillId="0" borderId="0" xfId="0" applyFont="1" applyBorder="1" applyAlignment="1">
      <alignment horizontal="center" vertical="top"/>
    </xf>
    <xf numFmtId="0" fontId="22" fillId="0" borderId="0" xfId="0" applyFont="1" applyFill="1" applyBorder="1" applyAlignment="1">
      <alignment horizontal="left" vertical="top"/>
    </xf>
    <xf numFmtId="0" fontId="22" fillId="0" borderId="0" xfId="0" applyFont="1" applyBorder="1" applyAlignment="1">
      <alignment horizontal="center"/>
    </xf>
    <xf numFmtId="0" fontId="23" fillId="0" borderId="0" xfId="0" applyFont="1" applyFill="1" applyBorder="1" applyAlignment="1">
      <alignment horizontal="center"/>
    </xf>
    <xf numFmtId="4" fontId="23" fillId="0" borderId="0" xfId="0" applyNumberFormat="1" applyFont="1" applyFill="1" applyBorder="1" applyAlignment="1">
      <alignment horizontal="right"/>
    </xf>
    <xf numFmtId="0" fontId="23" fillId="0" borderId="0" xfId="0" applyFont="1" applyFill="1" applyBorder="1" applyAlignment="1">
      <alignment horizontal="center" vertical="top"/>
    </xf>
    <xf numFmtId="49" fontId="42" fillId="2" borderId="2" xfId="0" applyNumberFormat="1" applyFont="1" applyFill="1" applyBorder="1" applyAlignment="1">
      <alignment horizontal="center" vertical="top"/>
    </xf>
    <xf numFmtId="0" fontId="43" fillId="2" borderId="3" xfId="0" applyFont="1" applyFill="1" applyBorder="1" applyAlignment="1">
      <alignment horizontal="center"/>
    </xf>
    <xf numFmtId="4" fontId="43" fillId="2" borderId="3" xfId="0" applyNumberFormat="1" applyFont="1" applyFill="1" applyBorder="1" applyAlignment="1">
      <alignment horizontal="center"/>
    </xf>
    <xf numFmtId="4" fontId="43" fillId="2" borderId="3" xfId="0" applyNumberFormat="1" applyFont="1" applyFill="1" applyBorder="1" applyAlignment="1">
      <alignment horizontal="right"/>
    </xf>
    <xf numFmtId="0" fontId="7" fillId="0" borderId="0" xfId="0" applyFont="1" applyAlignment="1">
      <alignment horizontal="center"/>
    </xf>
    <xf numFmtId="0" fontId="5" fillId="0" borderId="0" xfId="0" applyFont="1" applyAlignment="1">
      <alignment horizontal="right"/>
    </xf>
    <xf numFmtId="0" fontId="7" fillId="0" borderId="0" xfId="0" applyFont="1" applyFill="1" applyBorder="1" applyAlignment="1">
      <alignment horizontal="justify" wrapText="1"/>
    </xf>
    <xf numFmtId="0" fontId="23" fillId="0" borderId="0" xfId="0" applyFont="1" applyFill="1" applyBorder="1" applyAlignment="1">
      <alignment horizontal="justify"/>
    </xf>
    <xf numFmtId="0" fontId="22" fillId="0" borderId="0" xfId="0" applyFont="1" applyBorder="1" applyAlignment="1">
      <alignment horizontal="center" vertical="top"/>
    </xf>
    <xf numFmtId="0" fontId="23" fillId="0" borderId="0" xfId="0" applyFont="1" applyBorder="1" applyAlignment="1">
      <alignment horizontal="justify" wrapText="1"/>
    </xf>
    <xf numFmtId="4" fontId="22" fillId="0" borderId="0" xfId="0" applyNumberFormat="1" applyFont="1" applyBorder="1" applyAlignment="1">
      <alignment horizontal="right"/>
    </xf>
    <xf numFmtId="0" fontId="7" fillId="3" borderId="3" xfId="0" applyFont="1" applyFill="1" applyBorder="1" applyAlignment="1">
      <alignment horizontal="left" vertical="center" wrapText="1"/>
    </xf>
    <xf numFmtId="0" fontId="6" fillId="0" borderId="0" xfId="0" applyFont="1" applyBorder="1" applyAlignment="1">
      <alignment horizontal="justify"/>
    </xf>
    <xf numFmtId="0" fontId="6" fillId="0" borderId="0" xfId="0" applyFont="1" applyBorder="1" applyAlignment="1">
      <alignment horizontal="left"/>
    </xf>
    <xf numFmtId="0" fontId="15" fillId="0" borderId="3" xfId="0" applyFont="1" applyFill="1" applyBorder="1" applyAlignment="1">
      <alignment horizontal="center"/>
    </xf>
    <xf numFmtId="0" fontId="15" fillId="0" borderId="2" xfId="0" applyFont="1" applyBorder="1" applyAlignment="1">
      <alignment horizontal="center" vertical="top"/>
    </xf>
    <xf numFmtId="0" fontId="33" fillId="0" borderId="3" xfId="0" applyFont="1" applyBorder="1" applyAlignment="1">
      <alignment horizontal="center" vertical="top"/>
    </xf>
    <xf numFmtId="4" fontId="15" fillId="0" borderId="4" xfId="0" applyNumberFormat="1" applyFont="1" applyBorder="1" applyAlignment="1">
      <alignment horizontal="right"/>
    </xf>
    <xf numFmtId="0" fontId="23" fillId="0" borderId="0" xfId="0" applyFont="1" applyAlignment="1">
      <alignment horizontal="left"/>
    </xf>
    <xf numFmtId="0" fontId="0" fillId="0" borderId="0" xfId="0" applyFill="1" applyAlignment="1"/>
    <xf numFmtId="0" fontId="5" fillId="0" borderId="0" xfId="0" applyFont="1" applyFill="1" applyBorder="1" applyAlignment="1">
      <alignment horizontal="center" vertical="center" wrapText="1"/>
    </xf>
    <xf numFmtId="4" fontId="7" fillId="0" borderId="0" xfId="0" applyNumberFormat="1" applyFont="1" applyFill="1" applyBorder="1" applyAlignment="1">
      <alignment horizontal="center" vertical="center" wrapText="1"/>
    </xf>
    <xf numFmtId="0" fontId="12" fillId="0" borderId="0" xfId="0" applyFont="1" applyAlignment="1">
      <alignment wrapText="1"/>
    </xf>
    <xf numFmtId="0" fontId="5" fillId="0" borderId="0" xfId="0" applyFont="1" applyAlignment="1">
      <alignment horizontal="justify" vertical="top"/>
    </xf>
    <xf numFmtId="0" fontId="51" fillId="0" borderId="0" xfId="0" applyFont="1" applyFill="1" applyAlignment="1">
      <alignment horizontal="center"/>
    </xf>
    <xf numFmtId="0" fontId="0" fillId="0" borderId="0" xfId="0" applyFont="1" applyFill="1" applyAlignment="1"/>
    <xf numFmtId="4" fontId="5" fillId="0" borderId="0" xfId="0" applyNumberFormat="1" applyFont="1" applyFill="1" applyBorder="1" applyAlignment="1">
      <alignment horizontal="center" vertical="top" wrapText="1"/>
    </xf>
    <xf numFmtId="0" fontId="0" fillId="0" borderId="0" xfId="0" applyFont="1" applyAlignment="1"/>
    <xf numFmtId="0" fontId="3" fillId="0" borderId="0" xfId="0" applyFont="1" applyAlignment="1">
      <alignment horizontal="center" vertical="top"/>
    </xf>
    <xf numFmtId="0" fontId="4" fillId="0" borderId="0" xfId="0" applyFont="1" applyAlignment="1">
      <alignment horizontal="justify"/>
    </xf>
    <xf numFmtId="0" fontId="3" fillId="0" borderId="0" xfId="0" applyFont="1" applyAlignment="1">
      <alignment horizontal="center"/>
    </xf>
    <xf numFmtId="4" fontId="4" fillId="0" borderId="0" xfId="0" applyNumberFormat="1" applyFont="1" applyAlignment="1">
      <alignment horizontal="right"/>
    </xf>
    <xf numFmtId="0" fontId="4" fillId="0" borderId="0" xfId="0" applyFont="1" applyFill="1" applyBorder="1" applyAlignment="1">
      <alignment horizontal="center" vertical="top"/>
    </xf>
    <xf numFmtId="0" fontId="4" fillId="0" borderId="0" xfId="0" applyFont="1" applyFill="1" applyBorder="1" applyAlignment="1">
      <alignment horizontal="justify"/>
    </xf>
    <xf numFmtId="0" fontId="4" fillId="0" borderId="0" xfId="0" applyFont="1" applyFill="1" applyBorder="1" applyAlignment="1">
      <alignment horizontal="center"/>
    </xf>
    <xf numFmtId="4" fontId="4" fillId="0" borderId="0" xfId="0" applyNumberFormat="1" applyFont="1" applyFill="1" applyBorder="1" applyAlignment="1">
      <alignment horizontal="right"/>
    </xf>
    <xf numFmtId="4" fontId="6" fillId="0" borderId="0" xfId="0" applyNumberFormat="1" applyFont="1" applyFill="1" applyBorder="1" applyAlignment="1">
      <alignment horizontal="left"/>
    </xf>
    <xf numFmtId="0" fontId="22" fillId="0" borderId="0" xfId="0" applyFont="1" applyFill="1" applyAlignment="1">
      <alignment horizontal="justify" vertical="top" wrapText="1"/>
    </xf>
    <xf numFmtId="49" fontId="15" fillId="0" borderId="0" xfId="0" applyNumberFormat="1" applyFont="1" applyBorder="1" applyAlignment="1">
      <alignment horizontal="center" vertical="top"/>
    </xf>
    <xf numFmtId="0" fontId="5" fillId="0" borderId="0" xfId="0" applyFont="1" applyFill="1" applyBorder="1" applyAlignment="1">
      <alignment horizontal="left" vertical="top" wrapText="1"/>
    </xf>
    <xf numFmtId="0" fontId="7" fillId="0" borderId="0" xfId="0" applyFont="1" applyBorder="1" applyAlignment="1">
      <alignment horizontal="justify" wrapText="1"/>
    </xf>
    <xf numFmtId="0" fontId="52" fillId="0" borderId="0" xfId="0" applyFont="1"/>
    <xf numFmtId="0" fontId="51" fillId="0" borderId="0" xfId="0" applyFont="1" applyFill="1" applyAlignment="1">
      <alignment horizontal="center" vertical="top" wrapText="1"/>
    </xf>
    <xf numFmtId="0" fontId="33" fillId="0" borderId="0" xfId="0" applyFont="1" applyFill="1" applyBorder="1" applyAlignment="1">
      <alignment horizontal="left"/>
    </xf>
    <xf numFmtId="0" fontId="3" fillId="0" borderId="2" xfId="0" applyFont="1" applyBorder="1" applyAlignment="1">
      <alignment horizontal="center" vertical="top"/>
    </xf>
    <xf numFmtId="0" fontId="4" fillId="0" borderId="3" xfId="0" applyFont="1" applyBorder="1" applyAlignment="1">
      <alignment horizontal="center" vertical="top"/>
    </xf>
    <xf numFmtId="4" fontId="3" fillId="0" borderId="3" xfId="0" applyNumberFormat="1" applyFont="1" applyBorder="1" applyAlignment="1">
      <alignment horizontal="center"/>
    </xf>
    <xf numFmtId="4" fontId="3" fillId="0" borderId="3" xfId="0" applyNumberFormat="1" applyFont="1" applyFill="1" applyBorder="1" applyAlignment="1">
      <alignment horizontal="right"/>
    </xf>
    <xf numFmtId="4" fontId="3" fillId="0" borderId="4" xfId="0" applyNumberFormat="1" applyFont="1" applyBorder="1" applyAlignment="1">
      <alignment horizontal="right"/>
    </xf>
    <xf numFmtId="0" fontId="3" fillId="0" borderId="0" xfId="0" applyFont="1" applyFill="1" applyAlignment="1">
      <alignment horizontal="center" vertical="top" wrapText="1"/>
    </xf>
    <xf numFmtId="0" fontId="3" fillId="0" borderId="0" xfId="0" applyFont="1" applyFill="1" applyBorder="1" applyAlignment="1">
      <alignment horizontal="justify" vertical="top"/>
    </xf>
    <xf numFmtId="4" fontId="3" fillId="0" borderId="0" xfId="0" applyNumberFormat="1" applyFont="1" applyBorder="1" applyAlignment="1">
      <alignment horizontal="center" wrapText="1"/>
    </xf>
    <xf numFmtId="0" fontId="33" fillId="0" borderId="0" xfId="0" applyFont="1" applyFill="1" applyBorder="1" applyAlignment="1">
      <alignment horizontal="justify" vertical="top"/>
    </xf>
    <xf numFmtId="0" fontId="7" fillId="0" borderId="0" xfId="0" applyFont="1" applyFill="1" applyBorder="1" applyAlignment="1">
      <alignment horizontal="left" vertical="top"/>
    </xf>
    <xf numFmtId="0" fontId="53" fillId="0" borderId="3" xfId="0" applyFont="1" applyFill="1" applyBorder="1" applyAlignment="1">
      <alignment horizontal="justify" wrapText="1"/>
    </xf>
    <xf numFmtId="49" fontId="55" fillId="0" borderId="0" xfId="0" applyNumberFormat="1" applyFont="1" applyFill="1" applyBorder="1" applyAlignment="1">
      <alignment horizontal="center" vertical="top"/>
    </xf>
    <xf numFmtId="0" fontId="55" fillId="0" borderId="0" xfId="0" applyFont="1" applyFill="1" applyBorder="1" applyAlignment="1">
      <alignment horizontal="justify" vertical="top" wrapText="1"/>
    </xf>
    <xf numFmtId="0" fontId="55" fillId="0" borderId="0" xfId="0" applyFont="1" applyFill="1" applyBorder="1" applyAlignment="1">
      <alignment horizontal="center"/>
    </xf>
    <xf numFmtId="0" fontId="55" fillId="0" borderId="0" xfId="0" applyFont="1" applyFill="1" applyBorder="1" applyAlignment="1">
      <alignment horizontal="center" wrapText="1"/>
    </xf>
    <xf numFmtId="0" fontId="53" fillId="2" borderId="3" xfId="0" applyFont="1" applyFill="1" applyBorder="1" applyAlignment="1">
      <alignment horizontal="left"/>
    </xf>
    <xf numFmtId="0" fontId="7" fillId="0" borderId="0" xfId="0" applyFont="1" applyBorder="1" applyAlignment="1">
      <alignment horizontal="left"/>
    </xf>
    <xf numFmtId="0" fontId="55" fillId="0" borderId="0" xfId="0" applyFont="1" applyFill="1" applyBorder="1" applyAlignment="1">
      <alignment horizontal="center" vertical="top"/>
    </xf>
    <xf numFmtId="0" fontId="55" fillId="0" borderId="0" xfId="0" applyFont="1" applyBorder="1" applyAlignment="1">
      <alignment horizontal="center" vertical="top"/>
    </xf>
    <xf numFmtId="4" fontId="5" fillId="3" borderId="3" xfId="0" applyNumberFormat="1" applyFont="1" applyFill="1" applyBorder="1" applyAlignment="1">
      <alignment horizontal="right"/>
    </xf>
    <xf numFmtId="4" fontId="5" fillId="3" borderId="4" xfId="0" applyNumberFormat="1" applyFont="1" applyFill="1" applyBorder="1" applyAlignment="1">
      <alignment horizontal="right"/>
    </xf>
    <xf numFmtId="0" fontId="55" fillId="0" borderId="0" xfId="0" applyFont="1" applyFill="1" applyBorder="1" applyAlignment="1">
      <alignment horizontal="justify"/>
    </xf>
    <xf numFmtId="0" fontId="55" fillId="0" borderId="0" xfId="0" applyFont="1" applyBorder="1" applyAlignment="1">
      <alignment horizontal="justify"/>
    </xf>
    <xf numFmtId="0" fontId="55" fillId="0" borderId="0" xfId="0" applyFont="1" applyFill="1" applyAlignment="1">
      <alignment horizontal="center" vertical="top"/>
    </xf>
    <xf numFmtId="4" fontId="55" fillId="0" borderId="0" xfId="0" applyNumberFormat="1" applyFont="1" applyFill="1" applyAlignment="1">
      <alignment horizontal="justify" vertical="top" wrapText="1"/>
    </xf>
    <xf numFmtId="0" fontId="14" fillId="2" borderId="2" xfId="0" applyFont="1" applyFill="1" applyBorder="1" applyAlignment="1">
      <alignment horizontal="center" vertical="top"/>
    </xf>
    <xf numFmtId="0" fontId="14" fillId="2" borderId="3" xfId="0" applyFont="1" applyFill="1" applyBorder="1" applyAlignment="1">
      <alignment horizontal="center"/>
    </xf>
    <xf numFmtId="4" fontId="14" fillId="2" borderId="3" xfId="0" applyNumberFormat="1" applyFont="1" applyFill="1" applyBorder="1" applyAlignment="1">
      <alignment horizontal="right" wrapText="1"/>
    </xf>
    <xf numFmtId="4" fontId="14" fillId="2" borderId="3" xfId="0" applyNumberFormat="1" applyFont="1" applyFill="1" applyBorder="1" applyAlignment="1">
      <alignment horizontal="right"/>
    </xf>
    <xf numFmtId="0" fontId="55" fillId="0" borderId="0" xfId="0" applyFont="1" applyBorder="1" applyAlignment="1">
      <alignment horizontal="left"/>
    </xf>
    <xf numFmtId="0" fontId="55" fillId="0" borderId="0" xfId="0" applyFont="1" applyAlignment="1">
      <alignment horizontal="center" vertical="top"/>
    </xf>
    <xf numFmtId="0" fontId="55" fillId="0" borderId="0" xfId="0" applyFont="1" applyFill="1" applyBorder="1" applyAlignment="1">
      <alignment horizontal="justify" wrapText="1"/>
    </xf>
    <xf numFmtId="4" fontId="5" fillId="0" borderId="0" xfId="0" applyNumberFormat="1" applyFont="1" applyAlignment="1">
      <alignment horizontal="right" wrapText="1"/>
    </xf>
    <xf numFmtId="0" fontId="7" fillId="0" borderId="0" xfId="0" applyFont="1" applyFill="1" applyAlignment="1">
      <alignment horizontal="left"/>
    </xf>
    <xf numFmtId="0" fontId="5" fillId="0" borderId="3" xfId="0" applyFont="1" applyBorder="1" applyAlignment="1">
      <alignment horizontal="center"/>
    </xf>
    <xf numFmtId="0" fontId="31" fillId="0" borderId="0" xfId="0" applyFont="1" applyFill="1" applyAlignment="1"/>
    <xf numFmtId="0" fontId="0" fillId="0" borderId="0" xfId="0" applyFont="1" applyFill="1" applyAlignment="1">
      <alignment horizontal="center"/>
    </xf>
    <xf numFmtId="0" fontId="7" fillId="0" borderId="0" xfId="0" applyFont="1" applyFill="1" applyBorder="1" applyAlignment="1">
      <alignment horizontal="justify"/>
    </xf>
    <xf numFmtId="2" fontId="5" fillId="0" borderId="0" xfId="0" applyNumberFormat="1" applyFont="1" applyFill="1" applyBorder="1" applyAlignment="1">
      <alignment horizontal="center" wrapText="1"/>
    </xf>
    <xf numFmtId="0" fontId="7" fillId="2" borderId="3" xfId="0" applyFont="1" applyFill="1" applyBorder="1" applyAlignment="1">
      <alignment horizontal="left"/>
    </xf>
    <xf numFmtId="0" fontId="7" fillId="0" borderId="0" xfId="0" applyFont="1" applyBorder="1" applyAlignment="1">
      <alignment horizontal="center"/>
    </xf>
    <xf numFmtId="165" fontId="5" fillId="2" borderId="3" xfId="0" applyNumberFormat="1" applyFont="1" applyFill="1" applyBorder="1" applyAlignment="1">
      <alignment horizontal="center" wrapText="1"/>
    </xf>
    <xf numFmtId="0" fontId="63" fillId="0" borderId="0" xfId="0" applyFont="1" applyFill="1" applyBorder="1" applyAlignment="1">
      <alignment horizontal="center" vertical="top"/>
    </xf>
    <xf numFmtId="0" fontId="63" fillId="0" borderId="0" xfId="0" applyFont="1" applyFill="1" applyBorder="1" applyAlignment="1">
      <alignment horizontal="justify"/>
    </xf>
    <xf numFmtId="0" fontId="63" fillId="0" borderId="0" xfId="0" applyFont="1" applyFill="1" applyBorder="1" applyAlignment="1">
      <alignment horizontal="center"/>
    </xf>
    <xf numFmtId="4" fontId="63" fillId="0" borderId="0" xfId="0" applyNumberFormat="1" applyFont="1" applyFill="1" applyBorder="1" applyAlignment="1">
      <alignment horizontal="center"/>
    </xf>
    <xf numFmtId="4" fontId="63" fillId="0" borderId="0" xfId="0" applyNumberFormat="1" applyFont="1" applyFill="1" applyBorder="1" applyAlignment="1">
      <alignment horizontal="right"/>
    </xf>
    <xf numFmtId="0" fontId="7" fillId="0" borderId="3" xfId="0" applyFont="1" applyBorder="1" applyAlignment="1">
      <alignment horizontal="center"/>
    </xf>
    <xf numFmtId="0" fontId="5" fillId="0" borderId="0" xfId="0" applyFont="1"/>
    <xf numFmtId="4" fontId="5" fillId="0" borderId="0" xfId="0" applyNumberFormat="1" applyFont="1"/>
    <xf numFmtId="0" fontId="55" fillId="0" borderId="0" xfId="0" applyFont="1"/>
    <xf numFmtId="4" fontId="55" fillId="0" borderId="0" xfId="0" applyNumberFormat="1" applyFont="1" applyFill="1" applyBorder="1" applyAlignment="1">
      <alignment horizontal="center"/>
    </xf>
    <xf numFmtId="4" fontId="5" fillId="0" borderId="0" xfId="0" applyNumberFormat="1" applyFont="1" applyFill="1" applyBorder="1"/>
    <xf numFmtId="4" fontId="5" fillId="0" borderId="0" xfId="0" applyNumberFormat="1" applyFont="1" applyFill="1" applyBorder="1" applyAlignment="1" applyProtection="1">
      <alignment horizontal="right" wrapText="1"/>
    </xf>
    <xf numFmtId="0" fontId="65" fillId="0" borderId="0" xfId="0" applyFont="1" applyFill="1" applyAlignment="1">
      <alignment horizontal="center" vertical="top"/>
    </xf>
    <xf numFmtId="4" fontId="65" fillId="0" borderId="0" xfId="0" applyNumberFormat="1" applyFont="1" applyFill="1" applyBorder="1" applyAlignment="1">
      <alignment horizontal="left" vertical="top" wrapText="1"/>
    </xf>
    <xf numFmtId="0" fontId="65" fillId="0" borderId="0" xfId="0" applyFont="1"/>
    <xf numFmtId="4" fontId="65" fillId="0" borderId="0" xfId="0" applyNumberFormat="1" applyFont="1" applyAlignment="1">
      <alignment horizontal="center"/>
    </xf>
    <xf numFmtId="4" fontId="65" fillId="0" borderId="0" xfId="0" applyNumberFormat="1" applyFont="1"/>
    <xf numFmtId="0" fontId="55" fillId="0" borderId="0" xfId="0" applyFont="1" applyFill="1" applyBorder="1" applyAlignment="1">
      <alignment horizontal="center" vertical="distributed" wrapText="1"/>
    </xf>
    <xf numFmtId="0" fontId="31" fillId="0" borderId="0" xfId="0" applyFont="1" applyAlignment="1">
      <alignment vertical="distributed" wrapText="1"/>
    </xf>
    <xf numFmtId="4" fontId="0" fillId="0" borderId="0" xfId="0" applyNumberFormat="1" applyFont="1" applyAlignment="1">
      <alignment horizontal="center" vertical="distributed" wrapText="1"/>
    </xf>
    <xf numFmtId="4" fontId="0" fillId="0" borderId="0" xfId="0" applyNumberFormat="1" applyFont="1" applyAlignment="1">
      <alignment vertical="distributed" wrapText="1"/>
    </xf>
    <xf numFmtId="4" fontId="55" fillId="0" borderId="0" xfId="0" applyNumberFormat="1" applyFont="1" applyFill="1" applyBorder="1" applyAlignment="1">
      <alignment horizontal="left" wrapText="1"/>
    </xf>
    <xf numFmtId="0" fontId="53" fillId="2" borderId="3" xfId="0" applyFont="1" applyFill="1" applyBorder="1" applyAlignment="1">
      <alignment horizontal="justify" wrapText="1"/>
    </xf>
    <xf numFmtId="167" fontId="7" fillId="2" borderId="3" xfId="0" applyNumberFormat="1" applyFont="1" applyFill="1" applyBorder="1" applyAlignment="1" applyProtection="1">
      <alignment horizontal="center"/>
    </xf>
    <xf numFmtId="0" fontId="65" fillId="0" borderId="0" xfId="0" applyFont="1" applyBorder="1" applyAlignment="1">
      <alignment horizontal="center" vertical="top"/>
    </xf>
    <xf numFmtId="0" fontId="63" fillId="0" borderId="0" xfId="0" applyFont="1" applyBorder="1" applyAlignment="1">
      <alignment horizontal="justify" wrapText="1"/>
    </xf>
    <xf numFmtId="0" fontId="65" fillId="0" borderId="0" xfId="0" applyFont="1" applyBorder="1" applyAlignment="1">
      <alignment horizontal="center"/>
    </xf>
    <xf numFmtId="4" fontId="65" fillId="0" borderId="0" xfId="0" applyNumberFormat="1" applyFont="1" applyBorder="1" applyAlignment="1">
      <alignment horizontal="center"/>
    </xf>
    <xf numFmtId="4" fontId="65" fillId="0" borderId="0" xfId="0" applyNumberFormat="1" applyFont="1" applyFill="1" applyBorder="1" applyAlignment="1">
      <alignment horizontal="right"/>
    </xf>
    <xf numFmtId="0" fontId="54" fillId="0" borderId="0" xfId="0" applyFont="1" applyAlignment="1">
      <alignment horizontal="center"/>
    </xf>
    <xf numFmtId="0" fontId="65" fillId="0" borderId="0" xfId="0" applyFont="1" applyAlignment="1">
      <alignment horizontal="center" vertical="top"/>
    </xf>
    <xf numFmtId="0" fontId="63" fillId="0" borderId="0" xfId="0" applyFont="1" applyAlignment="1">
      <alignment horizontal="justify"/>
    </xf>
    <xf numFmtId="0" fontId="65" fillId="0" borderId="0" xfId="0" applyFont="1" applyAlignment="1">
      <alignment horizontal="center"/>
    </xf>
    <xf numFmtId="4" fontId="65" fillId="0" borderId="0" xfId="0" applyNumberFormat="1" applyFont="1" applyAlignment="1">
      <alignment horizontal="right"/>
    </xf>
    <xf numFmtId="4" fontId="63" fillId="0" borderId="0" xfId="0" applyNumberFormat="1" applyFont="1" applyAlignment="1">
      <alignment horizontal="right"/>
    </xf>
    <xf numFmtId="0" fontId="51" fillId="0" borderId="0" xfId="0" applyFont="1" applyFill="1" applyAlignment="1"/>
    <xf numFmtId="0" fontId="66" fillId="0" borderId="0" xfId="0" applyFont="1" applyFill="1" applyBorder="1" applyAlignment="1">
      <alignment horizontal="justify" vertical="top" wrapText="1"/>
    </xf>
    <xf numFmtId="4" fontId="66" fillId="0" borderId="0" xfId="0" applyNumberFormat="1" applyFont="1" applyFill="1" applyAlignment="1"/>
    <xf numFmtId="4" fontId="66" fillId="0" borderId="0" xfId="0" applyNumberFormat="1" applyFont="1" applyFill="1" applyBorder="1" applyAlignment="1">
      <alignment horizontal="right"/>
    </xf>
    <xf numFmtId="0" fontId="65" fillId="0" borderId="0" xfId="0" applyFont="1" applyFill="1" applyBorder="1" applyAlignment="1">
      <alignment horizontal="justify" vertical="top" wrapText="1"/>
    </xf>
    <xf numFmtId="49" fontId="65" fillId="0" borderId="0" xfId="0" applyNumberFormat="1" applyFont="1" applyFill="1" applyBorder="1" applyAlignment="1">
      <alignment horizontal="center" vertical="top"/>
    </xf>
    <xf numFmtId="0" fontId="65" fillId="0" borderId="0" xfId="0" applyFont="1" applyFill="1" applyBorder="1" applyAlignment="1">
      <alignment horizontal="justify" wrapText="1"/>
    </xf>
    <xf numFmtId="0" fontId="65" fillId="0" borderId="0" xfId="0" applyFont="1" applyFill="1" applyBorder="1" applyAlignment="1">
      <alignment horizontal="center"/>
    </xf>
    <xf numFmtId="2" fontId="65" fillId="0" borderId="0" xfId="0" applyNumberFormat="1" applyFont="1" applyFill="1" applyBorder="1" applyAlignment="1">
      <alignment horizontal="center" wrapText="1"/>
    </xf>
    <xf numFmtId="2" fontId="5" fillId="0" borderId="5" xfId="0" applyNumberFormat="1" applyFont="1" applyFill="1" applyBorder="1" applyAlignment="1">
      <alignment horizontal="center" wrapText="1"/>
    </xf>
    <xf numFmtId="0" fontId="63" fillId="0" borderId="0" xfId="0" applyFont="1" applyFill="1" applyAlignment="1">
      <alignment horizontal="justify" wrapText="1"/>
    </xf>
    <xf numFmtId="0" fontId="30" fillId="0" borderId="0" xfId="0" applyFont="1" applyFill="1" applyBorder="1" applyAlignment="1">
      <alignment horizontal="center" vertical="top"/>
    </xf>
    <xf numFmtId="0" fontId="67" fillId="0" borderId="0" xfId="0" applyFont="1" applyFill="1" applyBorder="1" applyAlignment="1">
      <alignment horizontal="left" vertical="top"/>
    </xf>
    <xf numFmtId="4" fontId="55" fillId="0" borderId="0" xfId="0" applyNumberFormat="1" applyFont="1" applyFill="1" applyBorder="1" applyAlignment="1">
      <alignment horizontal="justify" wrapText="1"/>
    </xf>
    <xf numFmtId="0" fontId="63" fillId="0" borderId="0" xfId="0" applyFont="1" applyFill="1" applyBorder="1" applyAlignment="1">
      <alignment horizontal="justify" wrapText="1"/>
    </xf>
    <xf numFmtId="0" fontId="55" fillId="0" borderId="0" xfId="0" applyFont="1" applyAlignment="1">
      <alignment horizontal="justify"/>
    </xf>
    <xf numFmtId="4" fontId="65" fillId="0" borderId="0" xfId="0" applyNumberFormat="1" applyFont="1" applyFill="1" applyBorder="1" applyAlignment="1">
      <alignment horizontal="justify" wrapText="1"/>
    </xf>
    <xf numFmtId="4" fontId="51" fillId="0" borderId="0" xfId="0" applyNumberFormat="1" applyFont="1" applyAlignment="1">
      <alignment horizontal="center"/>
    </xf>
    <xf numFmtId="4" fontId="51" fillId="0" borderId="0" xfId="0" applyNumberFormat="1" applyFont="1"/>
    <xf numFmtId="0" fontId="55" fillId="0" borderId="0" xfId="0" applyFont="1" applyAlignment="1">
      <alignment horizontal="justify" wrapText="1"/>
    </xf>
    <xf numFmtId="0" fontId="53" fillId="3" borderId="3" xfId="0" applyFont="1" applyFill="1" applyBorder="1" applyAlignment="1">
      <alignment horizontal="left" vertical="center" wrapText="1"/>
    </xf>
    <xf numFmtId="0" fontId="53" fillId="2" borderId="3" xfId="0" applyFont="1" applyFill="1" applyBorder="1" applyAlignment="1">
      <alignment horizontal="justify"/>
    </xf>
    <xf numFmtId="0" fontId="67" fillId="0" borderId="0" xfId="0" applyFont="1" applyFill="1" applyBorder="1" applyAlignment="1">
      <alignment horizontal="justify"/>
    </xf>
    <xf numFmtId="4" fontId="5" fillId="0" borderId="0" xfId="0" applyNumberFormat="1" applyFont="1" applyFill="1" applyBorder="1" applyAlignment="1">
      <alignment horizontal="justify" wrapText="1"/>
    </xf>
    <xf numFmtId="0" fontId="31" fillId="0" borderId="0" xfId="0" applyFont="1" applyAlignment="1"/>
    <xf numFmtId="4" fontId="0" fillId="0" borderId="0" xfId="0" applyNumberFormat="1" applyFont="1" applyAlignment="1">
      <alignment horizontal="center"/>
    </xf>
    <xf numFmtId="4" fontId="0" fillId="0" borderId="0" xfId="0" applyNumberFormat="1" applyFont="1" applyAlignment="1"/>
    <xf numFmtId="4" fontId="7" fillId="0" borderId="0" xfId="0" applyNumberFormat="1" applyFont="1" applyAlignment="1">
      <alignment horizontal="left"/>
    </xf>
    <xf numFmtId="4" fontId="22" fillId="0" borderId="0" xfId="0" applyNumberFormat="1" applyFont="1" applyAlignment="1">
      <alignment horizontal="justify"/>
    </xf>
    <xf numFmtId="4" fontId="23" fillId="0" borderId="0" xfId="0" applyNumberFormat="1" applyFont="1" applyAlignment="1">
      <alignment horizontal="center"/>
    </xf>
    <xf numFmtId="4" fontId="7" fillId="0" borderId="3" xfId="0" applyNumberFormat="1" applyFont="1" applyBorder="1" applyAlignment="1">
      <alignment horizontal="center" vertical="top"/>
    </xf>
    <xf numFmtId="4" fontId="8" fillId="0" borderId="0" xfId="0" applyNumberFormat="1" applyFont="1"/>
    <xf numFmtId="4" fontId="52" fillId="0" borderId="0" xfId="0" applyNumberFormat="1" applyFont="1"/>
    <xf numFmtId="4" fontId="31" fillId="0" borderId="0" xfId="0" applyNumberFormat="1" applyFont="1" applyAlignment="1"/>
    <xf numFmtId="4" fontId="31" fillId="0" borderId="0" xfId="0" applyNumberFormat="1" applyFont="1"/>
    <xf numFmtId="4" fontId="0" fillId="0" borderId="0" xfId="0" applyNumberFormat="1" applyFont="1"/>
    <xf numFmtId="0" fontId="52" fillId="0" borderId="0" xfId="0" applyFont="1" applyFill="1"/>
    <xf numFmtId="4" fontId="52" fillId="0" borderId="0" xfId="0" applyNumberFormat="1" applyFont="1" applyFill="1"/>
    <xf numFmtId="4" fontId="7" fillId="0" borderId="0" xfId="0" applyNumberFormat="1" applyFont="1"/>
    <xf numFmtId="4" fontId="0" fillId="0" borderId="0" xfId="0" applyNumberFormat="1" applyFont="1" applyFill="1"/>
    <xf numFmtId="4" fontId="0" fillId="0" borderId="0" xfId="0" applyNumberFormat="1" applyFont="1" applyFill="1" applyAlignment="1"/>
    <xf numFmtId="4" fontId="8" fillId="2" borderId="3" xfId="0" applyNumberFormat="1" applyFont="1" applyFill="1" applyBorder="1" applyAlignment="1">
      <alignment horizontal="left" vertical="center"/>
    </xf>
    <xf numFmtId="4" fontId="7" fillId="2" borderId="3" xfId="0" applyNumberFormat="1" applyFont="1" applyFill="1" applyBorder="1" applyAlignment="1">
      <alignment horizontal="center" vertical="top"/>
    </xf>
    <xf numFmtId="4" fontId="23" fillId="0" borderId="0" xfId="0" applyNumberFormat="1" applyFont="1" applyFill="1" applyBorder="1" applyAlignment="1">
      <alignment horizontal="left" vertical="center"/>
    </xf>
    <xf numFmtId="4" fontId="23" fillId="0" borderId="0" xfId="0" applyNumberFormat="1" applyFont="1" applyFill="1" applyBorder="1" applyAlignment="1">
      <alignment horizontal="center" vertical="top"/>
    </xf>
    <xf numFmtId="4" fontId="5" fillId="0" borderId="3" xfId="0" applyNumberFormat="1" applyFont="1" applyBorder="1" applyAlignment="1">
      <alignment horizontal="right"/>
    </xf>
    <xf numFmtId="4" fontId="5" fillId="0" borderId="0" xfId="0" applyNumberFormat="1" applyFont="1" applyBorder="1" applyAlignment="1">
      <alignment horizontal="justify" vertical="top" wrapText="1"/>
    </xf>
    <xf numFmtId="4" fontId="8" fillId="2" borderId="3" xfId="0" applyNumberFormat="1" applyFont="1" applyFill="1" applyBorder="1" applyAlignment="1">
      <alignment horizontal="left"/>
    </xf>
    <xf numFmtId="4" fontId="5" fillId="2" borderId="3" xfId="0" applyNumberFormat="1" applyFont="1" applyFill="1" applyBorder="1" applyAlignment="1">
      <alignment horizontal="right" vertical="top" wrapText="1"/>
    </xf>
    <xf numFmtId="4" fontId="23" fillId="0" borderId="0" xfId="0" applyNumberFormat="1" applyFont="1" applyFill="1" applyBorder="1" applyAlignment="1">
      <alignment horizontal="left"/>
    </xf>
    <xf numFmtId="4" fontId="22" fillId="0" borderId="0" xfId="0" applyNumberFormat="1" applyFont="1" applyFill="1" applyBorder="1" applyAlignment="1">
      <alignment horizontal="right" vertical="top" wrapText="1"/>
    </xf>
    <xf numFmtId="4" fontId="7" fillId="0" borderId="0" xfId="0" applyNumberFormat="1" applyFont="1" applyAlignment="1">
      <alignment horizontal="center"/>
    </xf>
    <xf numFmtId="4" fontId="8" fillId="4" borderId="2" xfId="0" applyNumberFormat="1" applyFont="1" applyFill="1" applyBorder="1" applyAlignment="1">
      <alignment horizontal="justify" vertical="top" wrapText="1"/>
    </xf>
    <xf numFmtId="4" fontId="5" fillId="4" borderId="3" xfId="0" applyNumberFormat="1" applyFont="1" applyFill="1" applyBorder="1" applyAlignment="1">
      <alignment horizontal="center"/>
    </xf>
    <xf numFmtId="4" fontId="5" fillId="4" borderId="3" xfId="0" applyNumberFormat="1" applyFont="1" applyFill="1" applyBorder="1" applyAlignment="1"/>
    <xf numFmtId="4" fontId="5" fillId="4" borderId="3" xfId="0" applyNumberFormat="1" applyFont="1" applyFill="1" applyBorder="1" applyAlignment="1">
      <alignment horizontal="right"/>
    </xf>
    <xf numFmtId="4" fontId="7" fillId="4" borderId="4" xfId="0" applyNumberFormat="1" applyFont="1" applyFill="1" applyBorder="1" applyAlignment="1">
      <alignment horizontal="right"/>
    </xf>
    <xf numFmtId="0" fontId="70" fillId="0" borderId="0" xfId="3" applyFont="1"/>
    <xf numFmtId="164" fontId="71" fillId="0" borderId="0" xfId="4" applyFont="1"/>
    <xf numFmtId="4" fontId="71" fillId="0" borderId="0" xfId="3" applyNumberFormat="1" applyFont="1"/>
    <xf numFmtId="0" fontId="71" fillId="0" borderId="0" xfId="3" applyFont="1"/>
    <xf numFmtId="0" fontId="73" fillId="0" borderId="0" xfId="3" applyFont="1"/>
    <xf numFmtId="0" fontId="73" fillId="0" borderId="0" xfId="3" applyFont="1" applyBorder="1" applyAlignment="1">
      <alignment horizontal="center"/>
    </xf>
    <xf numFmtId="4" fontId="73" fillId="0" borderId="0" xfId="4" applyNumberFormat="1" applyFont="1" applyFill="1" applyBorder="1" applyAlignment="1" applyProtection="1">
      <alignment horizontal="center"/>
    </xf>
    <xf numFmtId="164" fontId="73" fillId="0" borderId="0" xfId="4" applyFont="1" applyFill="1" applyBorder="1" applyAlignment="1" applyProtection="1">
      <alignment horizontal="center"/>
    </xf>
    <xf numFmtId="0" fontId="74" fillId="0" borderId="0" xfId="3" applyFont="1" applyFill="1" applyBorder="1" applyAlignment="1" applyProtection="1">
      <alignment horizontal="left" vertical="center" indent="1"/>
    </xf>
    <xf numFmtId="49" fontId="74" fillId="0" borderId="0" xfId="4" applyNumberFormat="1" applyFont="1" applyFill="1" applyBorder="1" applyAlignment="1">
      <alignment horizontal="center" vertical="center"/>
    </xf>
    <xf numFmtId="0" fontId="75" fillId="0" borderId="0" xfId="3" applyFont="1"/>
    <xf numFmtId="164" fontId="74" fillId="0" borderId="6" xfId="4" applyFont="1" applyBorder="1" applyAlignment="1" applyProtection="1">
      <alignment horizontal="right"/>
    </xf>
    <xf numFmtId="164" fontId="74" fillId="0" borderId="0" xfId="4" applyFont="1" applyBorder="1" applyAlignment="1" applyProtection="1">
      <alignment horizontal="right"/>
    </xf>
    <xf numFmtId="168" fontId="77" fillId="0" borderId="7" xfId="4" applyNumberFormat="1" applyFont="1" applyFill="1" applyBorder="1" applyAlignment="1" applyProtection="1">
      <alignment horizontal="justify"/>
    </xf>
    <xf numFmtId="0" fontId="7" fillId="2" borderId="9" xfId="1" applyFont="1" applyFill="1" applyBorder="1" applyAlignment="1">
      <alignment horizontal="center" vertical="top"/>
    </xf>
    <xf numFmtId="0" fontId="8" fillId="2" borderId="9" xfId="1" applyFont="1" applyFill="1" applyBorder="1" applyAlignment="1">
      <alignment horizontal="left"/>
    </xf>
    <xf numFmtId="4" fontId="5" fillId="2" borderId="9" xfId="1" applyNumberFormat="1" applyFont="1" applyFill="1" applyBorder="1" applyAlignment="1">
      <alignment horizontal="center"/>
    </xf>
    <xf numFmtId="4" fontId="5" fillId="2" borderId="9" xfId="1" applyNumberFormat="1" applyFont="1" applyFill="1" applyBorder="1" applyAlignment="1">
      <alignment horizontal="right"/>
    </xf>
    <xf numFmtId="4" fontId="7" fillId="2" borderId="8" xfId="1" applyNumberFormat="1" applyFont="1" applyFill="1" applyBorder="1" applyAlignment="1">
      <alignment horizontal="right"/>
    </xf>
    <xf numFmtId="164" fontId="74" fillId="5" borderId="6" xfId="4" applyFont="1" applyFill="1" applyBorder="1" applyAlignment="1" applyProtection="1">
      <alignment horizontal="right"/>
    </xf>
    <xf numFmtId="164" fontId="74" fillId="5" borderId="0" xfId="4" applyFont="1" applyFill="1" applyBorder="1" applyAlignment="1" applyProtection="1">
      <alignment horizontal="right"/>
    </xf>
    <xf numFmtId="0" fontId="7" fillId="2" borderId="9" xfId="1" applyFont="1" applyFill="1" applyBorder="1" applyAlignment="1">
      <alignment horizontal="left" vertical="top"/>
    </xf>
    <xf numFmtId="0" fontId="74" fillId="0" borderId="2" xfId="0" applyFont="1" applyFill="1" applyBorder="1" applyAlignment="1">
      <alignment horizontal="center"/>
    </xf>
    <xf numFmtId="0" fontId="79" fillId="0" borderId="0" xfId="5"/>
    <xf numFmtId="4" fontId="66" fillId="0" borderId="0" xfId="5" applyNumberFormat="1" applyFont="1" applyAlignment="1">
      <alignment horizontal="right"/>
    </xf>
    <xf numFmtId="2" fontId="66" fillId="0" borderId="0" xfId="5" applyNumberFormat="1" applyFont="1" applyAlignment="1">
      <alignment horizontal="right"/>
    </xf>
    <xf numFmtId="0" fontId="80" fillId="0" borderId="0" xfId="5" applyFont="1" applyAlignment="1">
      <alignment horizontal="right"/>
    </xf>
    <xf numFmtId="0" fontId="66" fillId="0" borderId="0" xfId="5" applyFont="1" applyAlignment="1">
      <alignment horizontal="center"/>
    </xf>
    <xf numFmtId="0" fontId="66" fillId="0" borderId="0" xfId="5" applyFont="1" applyAlignment="1">
      <alignment horizontal="justify" vertical="top" wrapText="1"/>
    </xf>
    <xf numFmtId="0" fontId="66" fillId="0" borderId="0" xfId="5" applyFont="1"/>
    <xf numFmtId="4" fontId="66" fillId="0" borderId="0" xfId="5" applyNumberFormat="1" applyFont="1" applyBorder="1" applyAlignment="1">
      <alignment horizontal="right"/>
    </xf>
    <xf numFmtId="0" fontId="81" fillId="0" borderId="0" xfId="5" applyFont="1" applyAlignment="1">
      <alignment horizontal="justify" vertical="top" wrapText="1"/>
    </xf>
    <xf numFmtId="4" fontId="81" fillId="0" borderId="0" xfId="5" applyNumberFormat="1" applyFont="1" applyBorder="1" applyAlignment="1">
      <alignment horizontal="right"/>
    </xf>
    <xf numFmtId="2" fontId="66" fillId="0" borderId="0" xfId="5" applyNumberFormat="1" applyFont="1" applyBorder="1" applyAlignment="1">
      <alignment horizontal="right"/>
    </xf>
    <xf numFmtId="0" fontId="80" fillId="0" borderId="0" xfId="5" applyFont="1" applyBorder="1" applyAlignment="1">
      <alignment horizontal="right"/>
    </xf>
    <xf numFmtId="0" fontId="66" fillId="0" borderId="0" xfId="5" applyFont="1" applyBorder="1" applyAlignment="1">
      <alignment horizontal="center"/>
    </xf>
    <xf numFmtId="0" fontId="81" fillId="0" borderId="0" xfId="5" applyFont="1" applyBorder="1" applyAlignment="1">
      <alignment horizontal="justify" vertical="top" wrapText="1"/>
    </xf>
    <xf numFmtId="0" fontId="66" fillId="0" borderId="0" xfId="5" applyFont="1" applyBorder="1" applyAlignment="1">
      <alignment horizontal="center" vertical="top" wrapText="1"/>
    </xf>
    <xf numFmtId="4" fontId="81" fillId="0" borderId="11" xfId="5" applyNumberFormat="1" applyFont="1" applyBorder="1" applyAlignment="1">
      <alignment horizontal="right"/>
    </xf>
    <xf numFmtId="0" fontId="79" fillId="0" borderId="0" xfId="5" applyFont="1"/>
    <xf numFmtId="4" fontId="66" fillId="0" borderId="11" xfId="5" applyNumberFormat="1" applyFont="1" applyBorder="1" applyAlignment="1">
      <alignment horizontal="right"/>
    </xf>
    <xf numFmtId="0" fontId="66" fillId="0" borderId="0" xfId="5" applyFont="1" applyBorder="1" applyAlignment="1">
      <alignment horizontal="justify" vertical="top" wrapText="1"/>
    </xf>
    <xf numFmtId="0" fontId="66" fillId="0" borderId="0" xfId="5" applyFont="1" applyAlignment="1">
      <alignment vertical="top"/>
    </xf>
    <xf numFmtId="0" fontId="7" fillId="0" borderId="1" xfId="5" applyFont="1" applyBorder="1" applyAlignment="1">
      <alignment horizontal="center" vertical="top" wrapText="1"/>
    </xf>
    <xf numFmtId="0" fontId="15" fillId="0" borderId="0" xfId="0" applyFont="1" applyFill="1" applyBorder="1" applyAlignment="1">
      <alignment horizontal="left"/>
    </xf>
    <xf numFmtId="4" fontId="7" fillId="2" borderId="1" xfId="1" applyNumberFormat="1" applyFont="1" applyFill="1" applyBorder="1" applyAlignment="1">
      <alignment horizontal="right"/>
    </xf>
    <xf numFmtId="0" fontId="8" fillId="0" borderId="3" xfId="0" applyFont="1" applyFill="1" applyBorder="1" applyAlignment="1">
      <alignment horizontal="justify" wrapText="1"/>
    </xf>
    <xf numFmtId="0" fontId="73" fillId="0" borderId="0" xfId="0" applyFont="1" applyFill="1" applyBorder="1" applyAlignment="1">
      <alignment horizontal="justify" wrapText="1"/>
    </xf>
    <xf numFmtId="0" fontId="66" fillId="0" borderId="0" xfId="5" applyFont="1" applyBorder="1" applyAlignment="1">
      <alignment vertical="top" wrapText="1"/>
    </xf>
    <xf numFmtId="0" fontId="5" fillId="3" borderId="2" xfId="0" applyFont="1" applyFill="1" applyBorder="1" applyAlignment="1">
      <alignment horizontal="center" vertical="center"/>
    </xf>
    <xf numFmtId="0" fontId="85" fillId="0" borderId="0" xfId="5" applyFont="1"/>
    <xf numFmtId="0" fontId="2" fillId="0" borderId="0" xfId="1" applyFont="1"/>
    <xf numFmtId="0" fontId="86" fillId="0" borderId="0" xfId="1" applyFont="1" applyAlignment="1">
      <alignment horizontal="center" vertical="center"/>
    </xf>
    <xf numFmtId="0" fontId="86" fillId="0" borderId="0" xfId="1" applyFont="1" applyAlignment="1">
      <alignment horizontal="center" vertical="top"/>
    </xf>
    <xf numFmtId="172" fontId="86" fillId="0" borderId="0" xfId="1" applyNumberFormat="1" applyFont="1" applyAlignment="1">
      <alignment horizontal="right" vertical="top"/>
    </xf>
    <xf numFmtId="172" fontId="86" fillId="0" borderId="0" xfId="1" applyNumberFormat="1" applyFont="1" applyAlignment="1">
      <alignment horizontal="center" vertical="top"/>
    </xf>
    <xf numFmtId="0" fontId="2" fillId="0" borderId="0" xfId="1" applyFont="1" applyAlignment="1">
      <alignment vertical="center"/>
    </xf>
    <xf numFmtId="49" fontId="0" fillId="0" borderId="0" xfId="8" applyNumberFormat="1" applyFont="1" applyFill="1" applyBorder="1" applyAlignment="1" applyProtection="1">
      <alignment horizontal="center" vertical="top"/>
    </xf>
    <xf numFmtId="4" fontId="0" fillId="0" borderId="0" xfId="8" applyNumberFormat="1" applyFont="1" applyFill="1" applyBorder="1" applyAlignment="1" applyProtection="1">
      <alignment horizontal="right" vertical="top"/>
    </xf>
    <xf numFmtId="172" fontId="0" fillId="0" borderId="0" xfId="8" applyNumberFormat="1" applyFont="1" applyFill="1" applyBorder="1" applyAlignment="1" applyProtection="1">
      <alignment horizontal="right" vertical="top"/>
    </xf>
    <xf numFmtId="0" fontId="87" fillId="0" borderId="0" xfId="1" applyFont="1"/>
    <xf numFmtId="0" fontId="2" fillId="0" borderId="0" xfId="1" applyFont="1" applyAlignment="1">
      <alignment horizontal="justify" vertical="top"/>
    </xf>
    <xf numFmtId="173" fontId="0" fillId="0" borderId="0" xfId="8" applyNumberFormat="1" applyFont="1" applyFill="1" applyBorder="1" applyAlignment="1" applyProtection="1">
      <alignment horizontal="right" vertical="top"/>
    </xf>
    <xf numFmtId="0" fontId="88" fillId="0" borderId="0" xfId="1" applyFont="1" applyFill="1" applyAlignment="1">
      <alignment vertical="center"/>
    </xf>
    <xf numFmtId="49" fontId="88" fillId="0" borderId="0" xfId="8" applyNumberFormat="1" applyFont="1" applyFill="1" applyBorder="1" applyAlignment="1" applyProtection="1">
      <alignment horizontal="center" vertical="top"/>
    </xf>
    <xf numFmtId="4" fontId="88" fillId="0" borderId="0" xfId="8" applyNumberFormat="1" applyFont="1" applyFill="1" applyBorder="1" applyAlignment="1" applyProtection="1">
      <alignment horizontal="right" vertical="top"/>
    </xf>
    <xf numFmtId="172" fontId="88" fillId="0" borderId="0" xfId="8" applyNumberFormat="1" applyFont="1" applyFill="1" applyBorder="1" applyAlignment="1" applyProtection="1">
      <alignment horizontal="right" vertical="top"/>
    </xf>
    <xf numFmtId="171" fontId="88" fillId="0" borderId="0" xfId="8" applyFont="1" applyFill="1" applyBorder="1" applyAlignment="1" applyProtection="1"/>
    <xf numFmtId="0" fontId="88" fillId="0" borderId="0" xfId="1" applyFont="1"/>
    <xf numFmtId="0" fontId="88" fillId="0" borderId="0" xfId="1" applyFont="1" applyFill="1" applyAlignment="1">
      <alignment horizontal="justify" vertical="top"/>
    </xf>
    <xf numFmtId="0" fontId="89" fillId="0" borderId="0" xfId="1" applyFont="1" applyFill="1" applyAlignment="1">
      <alignment horizontal="justify" vertical="top"/>
    </xf>
    <xf numFmtId="0" fontId="68" fillId="0" borderId="0" xfId="1" applyFont="1" applyFill="1" applyAlignment="1">
      <alignment horizontal="justify" vertical="top"/>
    </xf>
    <xf numFmtId="4" fontId="0" fillId="0" borderId="0" xfId="8" applyNumberFormat="1" applyFont="1" applyFill="1" applyBorder="1" applyAlignment="1" applyProtection="1">
      <alignment horizontal="right"/>
    </xf>
    <xf numFmtId="49" fontId="0" fillId="0" borderId="0" xfId="8" applyNumberFormat="1" applyFont="1" applyFill="1" applyBorder="1" applyAlignment="1" applyProtection="1">
      <alignment horizontal="center"/>
    </xf>
    <xf numFmtId="172" fontId="0" fillId="0" borderId="0" xfId="8" applyNumberFormat="1" applyFont="1" applyFill="1" applyBorder="1" applyAlignment="1" applyProtection="1">
      <alignment horizontal="right"/>
    </xf>
    <xf numFmtId="0" fontId="2" fillId="0" borderId="0" xfId="1" applyFont="1" applyFill="1" applyAlignment="1">
      <alignment vertical="center"/>
    </xf>
    <xf numFmtId="0" fontId="2" fillId="0" borderId="0" xfId="1" applyFont="1" applyFill="1" applyAlignment="1">
      <alignment horizontal="justify" vertical="top"/>
    </xf>
    <xf numFmtId="0" fontId="90" fillId="0" borderId="0" xfId="1" applyFont="1" applyFill="1" applyAlignment="1">
      <alignment horizontal="justify" vertical="top"/>
    </xf>
    <xf numFmtId="0" fontId="68" fillId="0" borderId="0" xfId="1" applyFont="1" applyFill="1" applyAlignment="1">
      <alignment vertical="center"/>
    </xf>
    <xf numFmtId="172" fontId="68" fillId="0" borderId="0" xfId="8" applyNumberFormat="1" applyFont="1" applyFill="1" applyBorder="1" applyAlignment="1" applyProtection="1">
      <alignment horizontal="right" vertical="top"/>
    </xf>
    <xf numFmtId="0" fontId="91" fillId="0" borderId="0" xfId="1" applyFont="1" applyFill="1" applyAlignment="1">
      <alignment vertical="center"/>
    </xf>
    <xf numFmtId="49" fontId="52" fillId="0" borderId="0" xfId="8" applyNumberFormat="1" applyFont="1" applyFill="1" applyBorder="1" applyAlignment="1" applyProtection="1">
      <alignment horizontal="center" vertical="top"/>
    </xf>
    <xf numFmtId="4" fontId="52" fillId="0" borderId="0" xfId="8" applyNumberFormat="1" applyFont="1" applyFill="1" applyBorder="1" applyAlignment="1" applyProtection="1">
      <alignment horizontal="right" vertical="top"/>
    </xf>
    <xf numFmtId="172" fontId="52" fillId="0" borderId="0" xfId="8" applyNumberFormat="1" applyFont="1" applyFill="1" applyBorder="1" applyAlignment="1" applyProtection="1">
      <alignment horizontal="right" vertical="top"/>
    </xf>
    <xf numFmtId="0" fontId="52" fillId="0" borderId="0" xfId="1" applyFont="1" applyFill="1" applyAlignment="1">
      <alignment horizontal="justify" vertical="top"/>
    </xf>
    <xf numFmtId="49" fontId="52" fillId="0" borderId="0" xfId="8" applyNumberFormat="1" applyFont="1" applyFill="1" applyBorder="1" applyAlignment="1" applyProtection="1">
      <alignment horizontal="center"/>
    </xf>
    <xf numFmtId="4" fontId="52" fillId="0" borderId="0" xfId="8" applyNumberFormat="1" applyFont="1" applyFill="1" applyBorder="1" applyAlignment="1" applyProtection="1">
      <alignment horizontal="right"/>
    </xf>
    <xf numFmtId="172" fontId="52" fillId="0" borderId="0" xfId="8" applyNumberFormat="1" applyFont="1" applyFill="1" applyBorder="1" applyAlignment="1" applyProtection="1">
      <alignment horizontal="right"/>
    </xf>
    <xf numFmtId="0" fontId="88" fillId="0" borderId="0" xfId="1" applyFont="1" applyAlignment="1">
      <alignment vertical="center"/>
    </xf>
    <xf numFmtId="0" fontId="88" fillId="0" borderId="0" xfId="1" applyFont="1" applyAlignment="1">
      <alignment horizontal="justify" vertical="top"/>
    </xf>
    <xf numFmtId="170" fontId="81" fillId="0" borderId="0" xfId="7" applyNumberFormat="1" applyFont="1" applyFill="1" applyBorder="1" applyAlignment="1">
      <alignment horizontal="left" vertical="top"/>
    </xf>
    <xf numFmtId="0" fontId="81" fillId="0" borderId="0" xfId="5" applyFont="1" applyAlignment="1">
      <alignment horizontal="left" vertical="top"/>
    </xf>
    <xf numFmtId="0" fontId="7" fillId="0" borderId="1" xfId="5" applyFont="1" applyBorder="1" applyAlignment="1">
      <alignment horizontal="center" vertical="center" wrapText="1"/>
    </xf>
    <xf numFmtId="0" fontId="73" fillId="0" borderId="0" xfId="1" applyFont="1" applyFill="1" applyAlignment="1">
      <alignment horizontal="center" vertical="center"/>
    </xf>
    <xf numFmtId="4" fontId="64" fillId="0" borderId="0" xfId="8" applyNumberFormat="1" applyFont="1" applyFill="1" applyBorder="1" applyAlignment="1" applyProtection="1">
      <alignment horizontal="right"/>
    </xf>
    <xf numFmtId="49" fontId="64" fillId="0" borderId="0" xfId="8" applyNumberFormat="1" applyFont="1" applyFill="1" applyBorder="1" applyAlignment="1" applyProtection="1">
      <alignment horizontal="center"/>
    </xf>
    <xf numFmtId="172" fontId="64" fillId="0" borderId="0" xfId="8" applyNumberFormat="1" applyFont="1" applyFill="1" applyBorder="1" applyAlignment="1" applyProtection="1">
      <alignment horizontal="right" vertical="top"/>
    </xf>
    <xf numFmtId="0" fontId="73" fillId="0" borderId="0" xfId="1" applyNumberFormat="1" applyFont="1" applyFill="1" applyAlignment="1">
      <alignment horizontal="justify" vertical="top"/>
    </xf>
    <xf numFmtId="172" fontId="64" fillId="0" borderId="0" xfId="8" applyNumberFormat="1" applyFont="1" applyFill="1" applyBorder="1" applyAlignment="1" applyProtection="1">
      <alignment horizontal="right"/>
    </xf>
    <xf numFmtId="0" fontId="73" fillId="0" borderId="0" xfId="1" applyFont="1" applyFill="1" applyAlignment="1">
      <alignment vertical="center"/>
    </xf>
    <xf numFmtId="0" fontId="73" fillId="0" borderId="0" xfId="1" applyFont="1" applyFill="1" applyAlignment="1">
      <alignment horizontal="justify" vertical="top"/>
    </xf>
    <xf numFmtId="49" fontId="64" fillId="0" borderId="0" xfId="8" applyNumberFormat="1" applyFont="1" applyFill="1" applyBorder="1" applyAlignment="1" applyProtection="1">
      <alignment horizontal="center" vertical="top"/>
    </xf>
    <xf numFmtId="4" fontId="64" fillId="0" borderId="0" xfId="8" applyNumberFormat="1" applyFont="1" applyFill="1" applyBorder="1" applyAlignment="1" applyProtection="1">
      <alignment horizontal="right" vertical="top"/>
    </xf>
    <xf numFmtId="0" fontId="74" fillId="0" borderId="0" xfId="1" applyFont="1" applyFill="1" applyAlignment="1">
      <alignment vertical="center"/>
    </xf>
    <xf numFmtId="0" fontId="25" fillId="0" borderId="0" xfId="1" applyNumberFormat="1" applyFont="1" applyFill="1" applyAlignment="1">
      <alignment horizontal="justify" vertical="top"/>
    </xf>
    <xf numFmtId="49" fontId="25" fillId="0" borderId="0" xfId="8" applyNumberFormat="1" applyFont="1" applyFill="1" applyBorder="1" applyAlignment="1" applyProtection="1">
      <alignment horizontal="center" vertical="top"/>
    </xf>
    <xf numFmtId="4" fontId="25" fillId="0" borderId="0" xfId="8" applyNumberFormat="1" applyFont="1" applyFill="1" applyBorder="1" applyAlignment="1" applyProtection="1">
      <alignment horizontal="right" vertical="top"/>
    </xf>
    <xf numFmtId="172" fontId="25" fillId="0" borderId="0" xfId="8" applyNumberFormat="1" applyFont="1" applyFill="1" applyBorder="1" applyAlignment="1" applyProtection="1">
      <alignment horizontal="right" vertical="top"/>
    </xf>
    <xf numFmtId="0" fontId="93" fillId="0" borderId="0" xfId="1" applyFont="1" applyFill="1" applyAlignment="1">
      <alignment vertical="center"/>
    </xf>
    <xf numFmtId="0" fontId="25" fillId="0" borderId="0" xfId="1" applyFont="1" applyFill="1" applyAlignment="1">
      <alignment horizontal="justify" vertical="top"/>
    </xf>
    <xf numFmtId="49" fontId="25" fillId="0" borderId="0" xfId="8" applyNumberFormat="1" applyFont="1" applyFill="1" applyBorder="1" applyAlignment="1" applyProtection="1">
      <alignment horizontal="center"/>
    </xf>
    <xf numFmtId="4" fontId="25" fillId="0" borderId="0" xfId="8" applyNumberFormat="1" applyFont="1" applyFill="1" applyBorder="1" applyAlignment="1" applyProtection="1">
      <alignment horizontal="right"/>
    </xf>
    <xf numFmtId="172" fontId="25" fillId="0" borderId="0" xfId="8" applyNumberFormat="1" applyFont="1" applyFill="1" applyBorder="1" applyAlignment="1" applyProtection="1">
      <alignment horizontal="right"/>
    </xf>
    <xf numFmtId="0" fontId="73" fillId="0" borderId="0" xfId="1" applyNumberFormat="1" applyFont="1" applyFill="1" applyAlignment="1">
      <alignment horizontal="justify" wrapText="1"/>
    </xf>
    <xf numFmtId="0" fontId="73" fillId="0" borderId="0" xfId="1" applyFont="1" applyFill="1" applyBorder="1" applyAlignment="1">
      <alignment horizontal="justify" vertical="top" wrapText="1"/>
    </xf>
    <xf numFmtId="0" fontId="25" fillId="0" borderId="0" xfId="1" applyFont="1" applyFill="1" applyBorder="1" applyAlignment="1">
      <alignment horizontal="justify" vertical="top" wrapText="1"/>
    </xf>
    <xf numFmtId="0" fontId="73" fillId="0" borderId="0" xfId="1" applyFont="1" applyFill="1" applyAlignment="1">
      <alignment horizontal="justify" vertical="top" wrapText="1"/>
    </xf>
    <xf numFmtId="0" fontId="73" fillId="0" borderId="0" xfId="1" applyNumberFormat="1" applyFont="1" applyFill="1" applyAlignment="1">
      <alignment horizontal="justify" vertical="top" wrapText="1"/>
    </xf>
    <xf numFmtId="4" fontId="5" fillId="2" borderId="14" xfId="1" applyNumberFormat="1" applyFont="1" applyFill="1" applyBorder="1" applyAlignment="1">
      <alignment horizontal="right"/>
    </xf>
    <xf numFmtId="4" fontId="7" fillId="2" borderId="13" xfId="1" applyNumberFormat="1" applyFont="1" applyFill="1" applyBorder="1" applyAlignment="1">
      <alignment horizontal="right"/>
    </xf>
    <xf numFmtId="0" fontId="15" fillId="0" borderId="0" xfId="0" applyFont="1" applyFill="1" applyBorder="1" applyAlignment="1">
      <alignment horizontal="center" vertical="center" wrapText="1"/>
    </xf>
    <xf numFmtId="0" fontId="94" fillId="0" borderId="0" xfId="9" applyAlignment="1">
      <alignment horizontal="center" vertical="center"/>
    </xf>
    <xf numFmtId="0" fontId="94" fillId="0" borderId="0" xfId="9" applyAlignment="1">
      <alignment wrapText="1"/>
    </xf>
    <xf numFmtId="0" fontId="95" fillId="0" borderId="0" xfId="9" applyFont="1" applyAlignment="1">
      <alignment horizontal="left"/>
    </xf>
    <xf numFmtId="0" fontId="95" fillId="0" borderId="0" xfId="9" applyFont="1" applyAlignment="1">
      <alignment horizontal="center"/>
    </xf>
    <xf numFmtId="1" fontId="94" fillId="0" borderId="0" xfId="9" applyNumberFormat="1" applyAlignment="1">
      <alignment horizontal="center" vertical="center"/>
    </xf>
    <xf numFmtId="1" fontId="94" fillId="0" borderId="0" xfId="9" applyNumberFormat="1" applyAlignment="1">
      <alignment vertical="center"/>
    </xf>
    <xf numFmtId="2" fontId="94" fillId="0" borderId="0" xfId="9" applyNumberFormat="1" applyAlignment="1">
      <alignment vertical="center"/>
    </xf>
    <xf numFmtId="0" fontId="94" fillId="0" borderId="0" xfId="9"/>
    <xf numFmtId="0" fontId="1" fillId="0" borderId="0" xfId="9" applyFont="1" applyAlignment="1">
      <alignment wrapText="1"/>
    </xf>
    <xf numFmtId="0" fontId="96" fillId="0" borderId="0" xfId="9" applyFont="1" applyAlignment="1">
      <alignment horizontal="left"/>
    </xf>
    <xf numFmtId="0" fontId="96" fillId="0" borderId="0" xfId="9" applyFont="1" applyAlignment="1">
      <alignment horizontal="center"/>
    </xf>
    <xf numFmtId="1" fontId="1" fillId="0" borderId="0" xfId="9" applyNumberFormat="1" applyFont="1" applyAlignment="1">
      <alignment horizontal="center" vertical="center"/>
    </xf>
    <xf numFmtId="1" fontId="1" fillId="0" borderId="0" xfId="9" applyNumberFormat="1" applyFont="1" applyAlignment="1">
      <alignment vertical="center"/>
    </xf>
    <xf numFmtId="2" fontId="1" fillId="0" borderId="0" xfId="9" applyNumberFormat="1" applyFont="1" applyAlignment="1">
      <alignment vertical="center"/>
    </xf>
    <xf numFmtId="0" fontId="92" fillId="0" borderId="0" xfId="9" applyFont="1" applyFill="1" applyBorder="1"/>
    <xf numFmtId="0" fontId="97" fillId="0" borderId="0" xfId="9" applyFont="1"/>
    <xf numFmtId="0" fontId="94" fillId="0" borderId="0" xfId="9" applyFont="1"/>
    <xf numFmtId="0" fontId="99" fillId="0" borderId="0" xfId="9" applyFont="1" applyAlignment="1">
      <alignment horizontal="center" vertical="center"/>
    </xf>
    <xf numFmtId="0" fontId="98" fillId="0" borderId="0" xfId="9" applyFont="1" applyAlignment="1">
      <alignment wrapText="1"/>
    </xf>
    <xf numFmtId="0" fontId="98" fillId="0" borderId="0" xfId="9" applyFont="1" applyAlignment="1">
      <alignment horizontal="left"/>
    </xf>
    <xf numFmtId="0" fontId="98" fillId="0" borderId="0" xfId="9" applyFont="1" applyAlignment="1">
      <alignment horizontal="center"/>
    </xf>
    <xf numFmtId="1" fontId="98" fillId="0" borderId="0" xfId="9" applyNumberFormat="1" applyFont="1" applyAlignment="1">
      <alignment horizontal="center" vertical="center"/>
    </xf>
    <xf numFmtId="1" fontId="98" fillId="0" borderId="0" xfId="9" applyNumberFormat="1" applyFont="1" applyAlignment="1">
      <alignment vertical="center"/>
    </xf>
    <xf numFmtId="2" fontId="98" fillId="0" borderId="0" xfId="9" applyNumberFormat="1" applyFont="1" applyAlignment="1">
      <alignment vertical="center"/>
    </xf>
    <xf numFmtId="4" fontId="64" fillId="0" borderId="0" xfId="8" applyNumberFormat="1" applyFont="1" applyFill="1" applyBorder="1" applyAlignment="1" applyProtection="1">
      <alignment horizontal="center"/>
    </xf>
    <xf numFmtId="0" fontId="73" fillId="0" borderId="0" xfId="1" applyFont="1" applyFill="1" applyAlignment="1">
      <alignment horizontal="justify" vertical="center"/>
    </xf>
    <xf numFmtId="0" fontId="73" fillId="0" borderId="0" xfId="1" applyFont="1"/>
    <xf numFmtId="0" fontId="74" fillId="0" borderId="10" xfId="9" applyFont="1" applyFill="1" applyBorder="1" applyAlignment="1">
      <alignment horizontal="center" vertical="center"/>
    </xf>
    <xf numFmtId="4" fontId="8" fillId="4" borderId="3" xfId="0" applyNumberFormat="1" applyFont="1" applyFill="1" applyBorder="1" applyAlignment="1">
      <alignment horizontal="justify" vertical="top" wrapText="1"/>
    </xf>
    <xf numFmtId="0" fontId="6" fillId="0" borderId="0" xfId="1" applyFont="1" applyFill="1" applyBorder="1" applyAlignment="1">
      <alignment horizontal="left" vertical="top" wrapText="1"/>
    </xf>
    <xf numFmtId="4" fontId="33" fillId="0" borderId="0" xfId="0" applyNumberFormat="1" applyFont="1" applyFill="1" applyAlignment="1">
      <alignment horizontal="right"/>
    </xf>
    <xf numFmtId="0" fontId="50" fillId="0" borderId="1" xfId="1" applyFont="1" applyBorder="1" applyAlignment="1">
      <alignment horizontal="center" vertical="center" wrapText="1"/>
    </xf>
    <xf numFmtId="0" fontId="50" fillId="0" borderId="1" xfId="1" applyFont="1" applyFill="1" applyBorder="1" applyAlignment="1">
      <alignment horizontal="center" vertical="center"/>
    </xf>
    <xf numFmtId="0" fontId="50" fillId="0" borderId="1" xfId="1" applyFont="1" applyFill="1" applyBorder="1" applyAlignment="1">
      <alignment horizontal="center" vertical="center" wrapText="1"/>
    </xf>
    <xf numFmtId="4" fontId="50" fillId="0" borderId="1" xfId="1" applyNumberFormat="1" applyFont="1" applyFill="1" applyBorder="1" applyAlignment="1">
      <alignment horizontal="center" vertical="center" wrapText="1"/>
    </xf>
    <xf numFmtId="0" fontId="102" fillId="0" borderId="0" xfId="1" applyFont="1" applyAlignment="1">
      <alignment horizontal="justify" vertical="top"/>
    </xf>
    <xf numFmtId="0" fontId="102" fillId="0" borderId="0" xfId="1" applyFont="1"/>
    <xf numFmtId="4" fontId="52" fillId="0" borderId="0" xfId="0" applyNumberFormat="1" applyFont="1" applyAlignment="1"/>
    <xf numFmtId="4" fontId="5" fillId="0" borderId="0" xfId="1" applyNumberFormat="1" applyFont="1" applyFill="1" applyBorder="1" applyAlignment="1">
      <alignment horizontal="center"/>
    </xf>
    <xf numFmtId="2" fontId="73" fillId="0" borderId="0" xfId="1" applyNumberFormat="1" applyFont="1" applyFill="1" applyBorder="1" applyAlignment="1">
      <alignment horizontal="center"/>
    </xf>
    <xf numFmtId="0" fontId="66" fillId="0" borderId="0" xfId="5" applyNumberFormat="1" applyFont="1" applyBorder="1" applyAlignment="1">
      <alignment horizontal="center"/>
    </xf>
    <xf numFmtId="0" fontId="80" fillId="0" borderId="0" xfId="5" applyFont="1" applyFill="1" applyBorder="1" applyAlignment="1">
      <alignment horizontal="center"/>
    </xf>
    <xf numFmtId="0" fontId="73" fillId="0" borderId="9" xfId="1" applyFont="1" applyFill="1" applyBorder="1" applyAlignment="1">
      <alignment horizontal="left" vertical="top"/>
    </xf>
    <xf numFmtId="4" fontId="73" fillId="0" borderId="9" xfId="1" applyNumberFormat="1" applyFont="1" applyFill="1" applyBorder="1" applyAlignment="1">
      <alignment horizontal="right" vertical="top"/>
    </xf>
    <xf numFmtId="0" fontId="5" fillId="10" borderId="0" xfId="0" applyFont="1" applyFill="1" applyAlignment="1">
      <alignment horizontal="center" vertical="top"/>
    </xf>
    <xf numFmtId="4" fontId="8" fillId="10" borderId="0" xfId="0" applyNumberFormat="1" applyFont="1" applyFill="1" applyAlignment="1">
      <alignment horizontal="left"/>
    </xf>
    <xf numFmtId="4" fontId="5" fillId="10" borderId="0" xfId="0" applyNumberFormat="1" applyFont="1" applyFill="1" applyAlignment="1">
      <alignment horizontal="center"/>
    </xf>
    <xf numFmtId="4" fontId="5" fillId="10" borderId="0" xfId="0" applyNumberFormat="1" applyFont="1" applyFill="1" applyAlignment="1">
      <alignment horizontal="right"/>
    </xf>
    <xf numFmtId="4" fontId="7" fillId="10" borderId="0" xfId="0" applyNumberFormat="1" applyFont="1" applyFill="1" applyAlignment="1">
      <alignment horizontal="right"/>
    </xf>
    <xf numFmtId="0" fontId="53" fillId="10" borderId="0" xfId="0" applyFont="1" applyFill="1" applyAlignment="1">
      <alignment horizontal="justify"/>
    </xf>
    <xf numFmtId="0" fontId="5" fillId="10" borderId="0" xfId="0" applyFont="1" applyFill="1" applyAlignment="1">
      <alignment horizontal="center"/>
    </xf>
    <xf numFmtId="0" fontId="0" fillId="10" borderId="0" xfId="0" applyFont="1" applyFill="1"/>
    <xf numFmtId="0" fontId="53" fillId="10" borderId="0" xfId="0" applyFont="1" applyFill="1" applyAlignment="1">
      <alignment horizontal="left"/>
    </xf>
    <xf numFmtId="0" fontId="8" fillId="10" borderId="0" xfId="0" applyFont="1" applyFill="1" applyAlignment="1">
      <alignment horizontal="left"/>
    </xf>
    <xf numFmtId="0" fontId="15" fillId="10" borderId="0" xfId="0" applyFont="1" applyFill="1" applyAlignment="1">
      <alignment horizontal="center" vertical="top"/>
    </xf>
    <xf numFmtId="0" fontId="15" fillId="10" borderId="0" xfId="0" applyFont="1" applyFill="1" applyAlignment="1">
      <alignment horizontal="center"/>
    </xf>
    <xf numFmtId="4" fontId="15" fillId="10" borderId="0" xfId="0" applyNumberFormat="1" applyFont="1" applyFill="1" applyAlignment="1">
      <alignment horizontal="center"/>
    </xf>
    <xf numFmtId="4" fontId="15" fillId="10" borderId="0" xfId="0" applyNumberFormat="1" applyFont="1" applyFill="1" applyAlignment="1">
      <alignment horizontal="right"/>
    </xf>
    <xf numFmtId="4" fontId="33" fillId="10" borderId="0" xfId="0" applyNumberFormat="1" applyFont="1" applyFill="1" applyAlignment="1">
      <alignment horizontal="right"/>
    </xf>
    <xf numFmtId="0" fontId="5" fillId="10" borderId="0" xfId="1" applyFont="1" applyFill="1" applyAlignment="1">
      <alignment horizontal="center" vertical="top"/>
    </xf>
    <xf numFmtId="0" fontId="8" fillId="10" borderId="0" xfId="1" applyFont="1" applyFill="1" applyAlignment="1">
      <alignment horizontal="left"/>
    </xf>
    <xf numFmtId="0" fontId="5" fillId="10" borderId="0" xfId="1" applyFont="1" applyFill="1" applyAlignment="1">
      <alignment horizontal="center"/>
    </xf>
    <xf numFmtId="4" fontId="5" fillId="10" borderId="0" xfId="1" applyNumberFormat="1" applyFont="1" applyFill="1" applyAlignment="1">
      <alignment horizontal="center"/>
    </xf>
    <xf numFmtId="4" fontId="5" fillId="10" borderId="0" xfId="1" applyNumberFormat="1" applyFont="1" applyFill="1" applyAlignment="1">
      <alignment horizontal="right"/>
    </xf>
    <xf numFmtId="4" fontId="7" fillId="10" borderId="0" xfId="1" applyNumberFormat="1" applyFont="1" applyFill="1" applyAlignment="1">
      <alignment horizontal="right"/>
    </xf>
    <xf numFmtId="0" fontId="7" fillId="2" borderId="9" xfId="1" applyFont="1" applyFill="1" applyBorder="1" applyAlignment="1">
      <alignment vertical="top"/>
    </xf>
    <xf numFmtId="4" fontId="74" fillId="0" borderId="0" xfId="0" applyNumberFormat="1" applyFont="1" applyFill="1" applyBorder="1" applyAlignment="1">
      <alignment horizontal="center" wrapText="1"/>
    </xf>
    <xf numFmtId="172" fontId="64" fillId="9" borderId="0" xfId="8" applyNumberFormat="1" applyFont="1" applyFill="1" applyBorder="1" applyAlignment="1" applyProtection="1">
      <alignment horizontal="right"/>
      <protection locked="0"/>
    </xf>
    <xf numFmtId="4" fontId="5" fillId="9" borderId="0" xfId="1" applyNumberFormat="1" applyFont="1" applyFill="1" applyBorder="1" applyAlignment="1" applyProtection="1">
      <alignment horizontal="right" vertical="center" wrapText="1"/>
      <protection locked="0"/>
    </xf>
    <xf numFmtId="4" fontId="5" fillId="9" borderId="0" xfId="1" applyNumberFormat="1" applyFont="1" applyFill="1" applyAlignment="1" applyProtection="1">
      <alignment horizontal="right"/>
      <protection locked="0"/>
    </xf>
    <xf numFmtId="4" fontId="5" fillId="9" borderId="0" xfId="1" applyNumberFormat="1" applyFont="1" applyFill="1" applyBorder="1" applyAlignment="1" applyProtection="1">
      <alignment horizontal="right" wrapText="1"/>
      <protection locked="0"/>
    </xf>
    <xf numFmtId="4" fontId="12" fillId="9" borderId="0" xfId="0" applyNumberFormat="1" applyFont="1" applyFill="1" applyAlignment="1" applyProtection="1">
      <protection locked="0"/>
    </xf>
    <xf numFmtId="4" fontId="5" fillId="9" borderId="0" xfId="0" applyNumberFormat="1" applyFont="1" applyFill="1" applyBorder="1" applyAlignment="1" applyProtection="1">
      <alignment horizontal="right"/>
      <protection locked="0"/>
    </xf>
    <xf numFmtId="4" fontId="5" fillId="9" borderId="0" xfId="0" applyNumberFormat="1" applyFont="1" applyFill="1" applyAlignment="1" applyProtection="1">
      <alignment horizontal="right" wrapText="1"/>
      <protection locked="0"/>
    </xf>
    <xf numFmtId="0" fontId="50" fillId="0" borderId="16" xfId="1" applyFont="1" applyBorder="1" applyAlignment="1">
      <alignment horizontal="center" vertical="center" wrapText="1"/>
    </xf>
    <xf numFmtId="4" fontId="5" fillId="2" borderId="19" xfId="1" applyNumberFormat="1" applyFont="1" applyFill="1" applyBorder="1" applyAlignment="1">
      <alignment horizontal="right"/>
    </xf>
    <xf numFmtId="4" fontId="5" fillId="0" borderId="0" xfId="5" applyNumberFormat="1" applyFont="1" applyBorder="1" applyAlignment="1">
      <alignment horizontal="right"/>
    </xf>
    <xf numFmtId="4" fontId="5" fillId="9" borderId="0" xfId="5" applyNumberFormat="1" applyFont="1" applyFill="1" applyBorder="1" applyAlignment="1" applyProtection="1">
      <alignment horizontal="right"/>
      <protection locked="0"/>
    </xf>
    <xf numFmtId="4" fontId="66" fillId="0" borderId="5" xfId="5" applyNumberFormat="1" applyFont="1" applyBorder="1" applyAlignment="1">
      <alignment horizontal="right"/>
    </xf>
    <xf numFmtId="0" fontId="66" fillId="0" borderId="5" xfId="5" applyFont="1" applyBorder="1" applyAlignment="1">
      <alignment horizontal="center" vertical="top" wrapText="1"/>
    </xf>
    <xf numFmtId="0" fontId="66" fillId="0" borderId="5" xfId="5" applyFont="1" applyBorder="1" applyAlignment="1">
      <alignment horizontal="justify" vertical="top" wrapText="1"/>
    </xf>
    <xf numFmtId="0" fontId="66" fillId="0" borderId="5" xfId="5" applyFont="1" applyBorder="1" applyAlignment="1">
      <alignment horizontal="center"/>
    </xf>
    <xf numFmtId="0" fontId="80" fillId="0" borderId="5" xfId="5" applyFont="1" applyBorder="1" applyAlignment="1">
      <alignment horizontal="center"/>
    </xf>
    <xf numFmtId="4" fontId="5" fillId="0" borderId="11" xfId="5" applyNumberFormat="1" applyFont="1" applyBorder="1" applyAlignment="1">
      <alignment horizontal="right"/>
    </xf>
    <xf numFmtId="164" fontId="73" fillId="0" borderId="0" xfId="4" applyFont="1" applyFill="1" applyBorder="1" applyAlignment="1" applyProtection="1">
      <alignment horizontal="center" vertical="center"/>
      <protection locked="0"/>
    </xf>
    <xf numFmtId="0" fontId="73" fillId="0" borderId="0" xfId="3" applyFont="1" applyFill="1" applyBorder="1" applyAlignment="1" applyProtection="1">
      <alignment horizontal="justify" vertical="center" wrapText="1"/>
      <protection locked="0"/>
    </xf>
    <xf numFmtId="164" fontId="73" fillId="9" borderId="0" xfId="4" applyNumberFormat="1" applyFont="1" applyFill="1" applyBorder="1" applyAlignment="1" applyProtection="1">
      <alignment horizontal="justify"/>
      <protection locked="0"/>
    </xf>
    <xf numFmtId="0" fontId="6" fillId="0" borderId="0" xfId="0" applyFont="1" applyFill="1" applyBorder="1" applyAlignment="1">
      <alignment horizontal="center" vertical="center" wrapText="1"/>
    </xf>
    <xf numFmtId="4" fontId="6" fillId="0" borderId="0" xfId="0" applyNumberFormat="1" applyFont="1" applyFill="1" applyBorder="1" applyAlignment="1">
      <alignment horizontal="right" vertical="center"/>
    </xf>
    <xf numFmtId="4" fontId="5" fillId="0" borderId="0" xfId="0" applyNumberFormat="1" applyFont="1" applyFill="1" applyAlignment="1">
      <alignment horizontal="center" vertical="center" wrapText="1"/>
    </xf>
    <xf numFmtId="164" fontId="73" fillId="9" borderId="0" xfId="4" applyNumberFormat="1" applyFont="1" applyFill="1" applyBorder="1" applyAlignment="1" applyProtection="1">
      <alignment horizontal="right"/>
      <protection locked="0"/>
    </xf>
    <xf numFmtId="4" fontId="5" fillId="0" borderId="0" xfId="0" applyNumberFormat="1" applyFont="1" applyFill="1" applyBorder="1" applyAlignment="1" applyProtection="1">
      <alignment horizontal="right"/>
    </xf>
    <xf numFmtId="0" fontId="74" fillId="0" borderId="0" xfId="1" applyFont="1" applyFill="1" applyAlignment="1">
      <alignment horizontal="center" vertical="center"/>
    </xf>
    <xf numFmtId="0" fontId="73" fillId="0" borderId="0" xfId="1" applyFont="1" applyFill="1" applyAlignment="1">
      <alignment horizontal="center" vertical="top"/>
    </xf>
    <xf numFmtId="4" fontId="5" fillId="0" borderId="0" xfId="5" applyNumberFormat="1" applyFont="1" applyFill="1" applyBorder="1" applyAlignment="1" applyProtection="1">
      <alignment horizontal="right"/>
      <protection locked="0"/>
    </xf>
    <xf numFmtId="0" fontId="6" fillId="0" borderId="0" xfId="0" applyFont="1" applyAlignment="1">
      <alignment horizontal="center" vertical="center"/>
    </xf>
    <xf numFmtId="0" fontId="72" fillId="0" borderId="0" xfId="1" applyFont="1" applyFill="1" applyAlignment="1">
      <alignment horizontal="center" vertical="center"/>
    </xf>
    <xf numFmtId="0" fontId="73" fillId="0" borderId="0" xfId="1" applyNumberFormat="1" applyFont="1" applyFill="1" applyAlignment="1">
      <alignment horizontal="justify"/>
    </xf>
    <xf numFmtId="3" fontId="73" fillId="0" borderId="0" xfId="9" applyNumberFormat="1" applyFont="1" applyFill="1" applyBorder="1" applyAlignment="1"/>
    <xf numFmtId="0" fontId="73" fillId="0" borderId="0" xfId="1" applyNumberFormat="1" applyFont="1" applyFill="1" applyBorder="1" applyAlignment="1">
      <alignment horizontal="justify" vertical="top"/>
    </xf>
    <xf numFmtId="4" fontId="64" fillId="0" borderId="7" xfId="9" applyNumberFormat="1" applyFont="1" applyBorder="1" applyAlignment="1"/>
    <xf numFmtId="0" fontId="74" fillId="0" borderId="27" xfId="9" applyFont="1" applyFill="1" applyBorder="1" applyAlignment="1">
      <alignment horizontal="center" vertical="center"/>
    </xf>
    <xf numFmtId="0" fontId="74" fillId="0" borderId="6" xfId="9" applyFont="1" applyFill="1" applyBorder="1" applyAlignment="1">
      <alignment horizontal="center" vertical="center"/>
    </xf>
    <xf numFmtId="0" fontId="74" fillId="0" borderId="0" xfId="9" applyFont="1" applyFill="1" applyBorder="1" applyAlignment="1"/>
    <xf numFmtId="0" fontId="73" fillId="0" borderId="0" xfId="1" applyNumberFormat="1" applyFont="1" applyFill="1" applyBorder="1" applyAlignment="1">
      <alignment horizontal="justify"/>
    </xf>
    <xf numFmtId="0" fontId="74" fillId="0" borderId="29" xfId="9" applyFont="1" applyFill="1" applyBorder="1" applyAlignment="1">
      <alignment horizontal="center" vertical="center"/>
    </xf>
    <xf numFmtId="0" fontId="73" fillId="0" borderId="31" xfId="9" applyFont="1" applyFill="1" applyBorder="1"/>
    <xf numFmtId="0" fontId="73" fillId="0" borderId="30" xfId="9" applyFont="1" applyFill="1" applyBorder="1" applyAlignment="1">
      <alignment horizontal="left"/>
    </xf>
    <xf numFmtId="0" fontId="6" fillId="0" borderId="0" xfId="1" applyFont="1" applyFill="1" applyBorder="1" applyAlignment="1">
      <alignment horizontal="center" vertical="center" wrapText="1"/>
    </xf>
    <xf numFmtId="4" fontId="8" fillId="0" borderId="0" xfId="0" applyNumberFormat="1" applyFont="1" applyFill="1" applyBorder="1" applyAlignment="1">
      <alignment horizontal="center" vertical="center"/>
    </xf>
    <xf numFmtId="4" fontId="6" fillId="0" borderId="0" xfId="0" applyNumberFormat="1" applyFont="1" applyFill="1" applyAlignment="1">
      <alignment horizontal="center" vertical="center" wrapText="1"/>
    </xf>
    <xf numFmtId="0" fontId="8" fillId="2" borderId="3" xfId="0" applyFont="1" applyFill="1" applyBorder="1" applyAlignment="1">
      <alignment horizontal="center" vertical="center"/>
    </xf>
    <xf numFmtId="0" fontId="14" fillId="0" borderId="0" xfId="0" applyFont="1" applyAlignment="1">
      <alignment horizontal="center" vertical="center" wrapText="1"/>
    </xf>
    <xf numFmtId="0" fontId="5" fillId="0" borderId="0" xfId="0" applyFont="1" applyFill="1" applyAlignment="1">
      <alignment horizontal="center" vertical="center" wrapText="1"/>
    </xf>
    <xf numFmtId="0" fontId="5" fillId="0" borderId="0" xfId="0" applyNumberFormat="1" applyFont="1" applyFill="1" applyBorder="1" applyAlignment="1">
      <alignment horizontal="center" vertical="center" wrapText="1"/>
    </xf>
    <xf numFmtId="4" fontId="15" fillId="0" borderId="0" xfId="0" applyNumberFormat="1" applyFont="1" applyFill="1" applyBorder="1" applyAlignment="1">
      <alignment horizontal="center" vertical="center" wrapText="1"/>
    </xf>
    <xf numFmtId="4" fontId="14" fillId="0" borderId="0" xfId="0" applyNumberFormat="1" applyFont="1" applyFill="1" applyAlignment="1">
      <alignment horizontal="center" vertical="center" wrapText="1"/>
    </xf>
    <xf numFmtId="4" fontId="22" fillId="0" borderId="0" xfId="0" applyNumberFormat="1" applyFont="1" applyFill="1" applyBorder="1" applyAlignment="1">
      <alignment horizontal="center" vertical="center" wrapText="1"/>
    </xf>
    <xf numFmtId="4" fontId="24" fillId="0" borderId="0" xfId="0" applyNumberFormat="1" applyFont="1" applyFill="1" applyBorder="1" applyAlignment="1">
      <alignment horizontal="center" vertical="center" wrapText="1"/>
    </xf>
    <xf numFmtId="4" fontId="15" fillId="0" borderId="0" xfId="0" applyNumberFormat="1" applyFont="1" applyFill="1" applyAlignment="1">
      <alignment horizontal="center" vertical="center" wrapText="1"/>
    </xf>
    <xf numFmtId="4" fontId="24" fillId="0" borderId="0" xfId="0" applyNumberFormat="1" applyFont="1" applyFill="1" applyAlignment="1">
      <alignment horizontal="center" vertical="center" wrapText="1"/>
    </xf>
    <xf numFmtId="0" fontId="0" fillId="0" borderId="0" xfId="0" applyFont="1" applyAlignment="1">
      <alignment horizontal="center" vertical="center"/>
    </xf>
    <xf numFmtId="4" fontId="26" fillId="0" borderId="0" xfId="0" applyNumberFormat="1" applyFont="1" applyFill="1" applyAlignment="1">
      <alignment horizontal="center" vertical="center"/>
    </xf>
    <xf numFmtId="4" fontId="27" fillId="0" borderId="0" xfId="0" applyNumberFormat="1" applyFont="1" applyFill="1" applyAlignment="1">
      <alignment horizontal="center" vertical="center" wrapText="1"/>
    </xf>
    <xf numFmtId="4" fontId="15" fillId="0" borderId="0" xfId="0" applyNumberFormat="1" applyFont="1" applyFill="1" applyBorder="1" applyAlignment="1">
      <alignment horizontal="center" vertical="center"/>
    </xf>
    <xf numFmtId="4" fontId="29" fillId="0" borderId="0" xfId="0" applyNumberFormat="1" applyFont="1" applyFill="1" applyAlignment="1">
      <alignment horizontal="center" vertical="center" wrapText="1"/>
    </xf>
    <xf numFmtId="0" fontId="0" fillId="0" borderId="0" xfId="0" applyAlignment="1">
      <alignment horizontal="center" vertical="center"/>
    </xf>
    <xf numFmtId="0" fontId="8" fillId="0" borderId="3" xfId="0" applyFont="1" applyBorder="1" applyAlignment="1">
      <alignment horizontal="center" vertical="center"/>
    </xf>
    <xf numFmtId="4" fontId="22" fillId="0" borderId="0" xfId="0" applyNumberFormat="1" applyFont="1" applyAlignment="1">
      <alignment horizontal="center" vertical="center" wrapText="1"/>
    </xf>
    <xf numFmtId="0" fontId="14" fillId="0" borderId="0" xfId="0" applyFont="1" applyFill="1" applyBorder="1" applyAlignment="1">
      <alignment horizontal="center" vertical="center"/>
    </xf>
    <xf numFmtId="4" fontId="22" fillId="0" borderId="0" xfId="0" applyNumberFormat="1" applyFont="1" applyFill="1" applyAlignment="1">
      <alignment horizontal="center" vertical="center" wrapText="1"/>
    </xf>
    <xf numFmtId="4" fontId="34" fillId="0" borderId="0" xfId="0" applyNumberFormat="1" applyFont="1" applyFill="1" applyBorder="1" applyAlignment="1">
      <alignment horizontal="center" vertical="center" wrapText="1"/>
    </xf>
    <xf numFmtId="4" fontId="6" fillId="0" borderId="0" xfId="0" applyNumberFormat="1" applyFont="1" applyFill="1" applyBorder="1" applyAlignment="1">
      <alignment horizontal="center" vertical="center" wrapText="1"/>
    </xf>
    <xf numFmtId="4" fontId="6" fillId="0" borderId="0" xfId="0" applyNumberFormat="1" applyFont="1" applyFill="1" applyAlignment="1">
      <alignment horizontal="center" vertical="center"/>
    </xf>
    <xf numFmtId="4" fontId="22" fillId="0" borderId="0" xfId="0" applyNumberFormat="1" applyFont="1" applyFill="1" applyAlignment="1">
      <alignment horizontal="center" vertical="center"/>
    </xf>
    <xf numFmtId="4" fontId="8" fillId="0" borderId="0" xfId="0" applyNumberFormat="1" applyFont="1" applyFill="1" applyAlignment="1">
      <alignment horizontal="center" vertical="center" wrapText="1"/>
    </xf>
    <xf numFmtId="4" fontId="23" fillId="0" borderId="0" xfId="0" applyNumberFormat="1" applyFont="1" applyFill="1" applyAlignment="1">
      <alignment horizontal="center" vertical="center" wrapText="1"/>
    </xf>
    <xf numFmtId="4" fontId="23" fillId="0" borderId="0" xfId="0" applyNumberFormat="1" applyFont="1" applyFill="1" applyBorder="1" applyAlignment="1">
      <alignment horizontal="center" vertical="center"/>
    </xf>
    <xf numFmtId="0" fontId="35" fillId="0" borderId="0" xfId="0" applyFont="1" applyAlignment="1">
      <alignment horizontal="center" vertical="center" wrapText="1"/>
    </xf>
    <xf numFmtId="4" fontId="32" fillId="0" borderId="0" xfId="0" applyNumberFormat="1" applyFont="1" applyFill="1" applyAlignment="1">
      <alignment horizontal="center" vertical="center"/>
    </xf>
    <xf numFmtId="0" fontId="8" fillId="3" borderId="3" xfId="0" applyFont="1" applyFill="1" applyBorder="1" applyAlignment="1">
      <alignment horizontal="center" vertical="center"/>
    </xf>
    <xf numFmtId="0" fontId="6" fillId="0" borderId="0" xfId="0" applyFont="1" applyFill="1" applyBorder="1" applyAlignment="1">
      <alignment horizontal="center" vertical="center"/>
    </xf>
    <xf numFmtId="0" fontId="3" fillId="0" borderId="0" xfId="1" applyFont="1" applyAlignment="1">
      <alignment horizontal="center" vertical="center"/>
    </xf>
    <xf numFmtId="0" fontId="8" fillId="10" borderId="0" xfId="0" applyFont="1" applyFill="1" applyAlignment="1">
      <alignment horizontal="center" vertical="center"/>
    </xf>
    <xf numFmtId="0" fontId="8" fillId="0" borderId="0" xfId="0" applyFont="1" applyFill="1" applyAlignment="1">
      <alignment horizontal="center" vertical="center"/>
    </xf>
    <xf numFmtId="0" fontId="33" fillId="0" borderId="0" xfId="0" applyFont="1" applyAlignment="1">
      <alignment horizontal="center" vertical="center"/>
    </xf>
    <xf numFmtId="0" fontId="31" fillId="0" borderId="0" xfId="0" applyFont="1" applyAlignment="1">
      <alignment horizontal="center" vertical="center"/>
    </xf>
    <xf numFmtId="0" fontId="37" fillId="0" borderId="0" xfId="0" applyFont="1" applyFill="1" applyBorder="1" applyAlignment="1">
      <alignment horizontal="center" vertical="center"/>
    </xf>
    <xf numFmtId="0" fontId="39" fillId="0" borderId="0" xfId="0" applyFont="1" applyFill="1" applyBorder="1" applyAlignment="1">
      <alignment horizontal="center" vertical="center"/>
    </xf>
    <xf numFmtId="0" fontId="45" fillId="0" borderId="0" xfId="0" applyFont="1" applyBorder="1" applyAlignment="1">
      <alignment horizontal="center" vertical="center"/>
    </xf>
    <xf numFmtId="0" fontId="6" fillId="0" borderId="0" xfId="0" applyFont="1" applyBorder="1" applyAlignment="1">
      <alignment horizontal="center" vertical="center"/>
    </xf>
    <xf numFmtId="0" fontId="8" fillId="0" borderId="0" xfId="0" applyFont="1" applyAlignment="1">
      <alignment horizontal="center" vertical="center"/>
    </xf>
    <xf numFmtId="0" fontId="15" fillId="0" borderId="0" xfId="0" applyFont="1" applyFill="1" applyAlignment="1">
      <alignment horizontal="center" vertical="center" wrapText="1"/>
    </xf>
    <xf numFmtId="49" fontId="6" fillId="0" borderId="0" xfId="1" applyNumberFormat="1" applyFont="1" applyFill="1" applyBorder="1" applyAlignment="1">
      <alignment horizontal="center" vertical="center" wrapText="1"/>
    </xf>
    <xf numFmtId="49" fontId="6" fillId="0" borderId="0" xfId="0" applyNumberFormat="1" applyFont="1" applyFill="1" applyAlignment="1">
      <alignment horizontal="center" vertical="center" wrapText="1"/>
    </xf>
    <xf numFmtId="0" fontId="73" fillId="0" borderId="0" xfId="1" applyFont="1" applyFill="1" applyBorder="1" applyAlignment="1">
      <alignment horizontal="left" vertical="top"/>
    </xf>
    <xf numFmtId="4" fontId="73" fillId="0" borderId="0" xfId="1" applyNumberFormat="1" applyFont="1" applyFill="1" applyBorder="1" applyAlignment="1">
      <alignment horizontal="right" vertical="top"/>
    </xf>
    <xf numFmtId="0" fontId="69" fillId="0" borderId="0" xfId="0" applyFont="1"/>
    <xf numFmtId="49" fontId="69" fillId="0" borderId="0" xfId="0" applyNumberFormat="1" applyFont="1" applyFill="1" applyBorder="1" applyAlignment="1">
      <alignment horizontal="center" vertical="center"/>
    </xf>
    <xf numFmtId="0" fontId="69" fillId="0" borderId="0" xfId="0" applyFont="1" applyFill="1" applyBorder="1"/>
    <xf numFmtId="49" fontId="69" fillId="0" borderId="0" xfId="0" applyNumberFormat="1" applyFont="1" applyBorder="1" applyAlignment="1">
      <alignment horizontal="center" vertical="center"/>
    </xf>
    <xf numFmtId="0" fontId="69" fillId="0" borderId="0" xfId="0" applyFont="1" applyBorder="1"/>
    <xf numFmtId="0" fontId="5" fillId="10" borderId="0" xfId="1" applyFont="1" applyFill="1" applyBorder="1" applyAlignment="1">
      <alignment horizontal="left"/>
    </xf>
    <xf numFmtId="4" fontId="5" fillId="10" borderId="0" xfId="1" applyNumberFormat="1" applyFont="1" applyFill="1" applyBorder="1" applyAlignment="1">
      <alignment horizontal="left"/>
    </xf>
    <xf numFmtId="4" fontId="7" fillId="10" borderId="0" xfId="1" applyNumberFormat="1" applyFont="1" applyFill="1" applyBorder="1" applyAlignment="1">
      <alignment horizontal="left"/>
    </xf>
    <xf numFmtId="0" fontId="74" fillId="10" borderId="0" xfId="1" applyFont="1" applyFill="1" applyBorder="1" applyAlignment="1">
      <alignment horizontal="left" vertical="top"/>
    </xf>
    <xf numFmtId="0" fontId="69" fillId="0" borderId="0" xfId="0" applyNumberFormat="1" applyFont="1" applyBorder="1" applyAlignment="1">
      <alignment horizontal="center" vertical="top" wrapText="1"/>
    </xf>
    <xf numFmtId="0" fontId="103" fillId="0" borderId="32" xfId="0" applyFont="1" applyFill="1" applyBorder="1" applyAlignment="1">
      <alignment vertical="top"/>
    </xf>
    <xf numFmtId="0" fontId="103" fillId="0" borderId="0" xfId="0" applyFont="1" applyFill="1" applyBorder="1" applyAlignment="1">
      <alignment vertical="top"/>
    </xf>
    <xf numFmtId="0" fontId="103" fillId="0" borderId="33" xfId="0" applyFont="1" applyFill="1" applyBorder="1" applyAlignment="1">
      <alignment vertical="top"/>
    </xf>
    <xf numFmtId="4" fontId="74" fillId="2" borderId="3" xfId="1" applyNumberFormat="1" applyFont="1" applyFill="1" applyBorder="1" applyAlignment="1">
      <alignment horizontal="left" vertical="top"/>
    </xf>
    <xf numFmtId="0" fontId="0" fillId="6" borderId="0" xfId="0" applyFill="1"/>
    <xf numFmtId="0" fontId="103" fillId="0" borderId="0" xfId="0" applyFont="1" applyAlignment="1">
      <alignment horizontal="left"/>
    </xf>
    <xf numFmtId="4" fontId="103" fillId="0" borderId="0" xfId="0" applyNumberFormat="1" applyFont="1" applyBorder="1" applyAlignment="1">
      <alignment horizontal="right"/>
    </xf>
    <xf numFmtId="0" fontId="105" fillId="0" borderId="0" xfId="0" applyFont="1"/>
    <xf numFmtId="0" fontId="0" fillId="0" borderId="0" xfId="0" applyAlignment="1">
      <alignment horizontal="left"/>
    </xf>
    <xf numFmtId="14" fontId="0" fillId="0" borderId="0" xfId="0" applyNumberFormat="1" applyAlignment="1">
      <alignment horizontal="left"/>
    </xf>
    <xf numFmtId="0" fontId="106" fillId="8" borderId="17" xfId="1" applyFont="1" applyFill="1" applyBorder="1" applyAlignment="1">
      <alignment horizontal="left" vertical="top"/>
    </xf>
    <xf numFmtId="0" fontId="73" fillId="0" borderId="25" xfId="1" applyFont="1" applyFill="1" applyBorder="1" applyAlignment="1">
      <alignment horizontal="left" vertical="top"/>
    </xf>
    <xf numFmtId="0" fontId="73" fillId="0" borderId="0" xfId="1" applyFont="1" applyFill="1" applyBorder="1" applyAlignment="1">
      <alignment horizontal="right" vertical="top"/>
    </xf>
    <xf numFmtId="4" fontId="106" fillId="8" borderId="17" xfId="1" applyNumberFormat="1" applyFont="1" applyFill="1" applyBorder="1" applyAlignment="1">
      <alignment horizontal="right" vertical="top"/>
    </xf>
    <xf numFmtId="0" fontId="74" fillId="0" borderId="0" xfId="1" applyFont="1" applyAlignment="1">
      <alignment horizontal="center" vertical="top"/>
    </xf>
    <xf numFmtId="0" fontId="107" fillId="0" borderId="0" xfId="1" applyFont="1" applyAlignment="1"/>
    <xf numFmtId="0" fontId="3" fillId="0" borderId="0" xfId="1" applyFont="1" applyAlignment="1"/>
    <xf numFmtId="0" fontId="8" fillId="10" borderId="0" xfId="1" applyFont="1" applyFill="1" applyAlignment="1"/>
    <xf numFmtId="0" fontId="50" fillId="0" borderId="1" xfId="1" applyFont="1" applyFill="1" applyBorder="1" applyAlignment="1">
      <alignment vertical="center"/>
    </xf>
    <xf numFmtId="0" fontId="7" fillId="0" borderId="0" xfId="1" applyFont="1" applyAlignment="1"/>
    <xf numFmtId="0" fontId="8" fillId="0" borderId="3" xfId="1" applyFont="1" applyBorder="1" applyAlignment="1"/>
    <xf numFmtId="0" fontId="6" fillId="0" borderId="0" xfId="1" applyFont="1" applyFill="1" applyBorder="1" applyAlignment="1">
      <alignment vertical="top" wrapText="1"/>
    </xf>
    <xf numFmtId="0" fontId="6" fillId="0" borderId="0" xfId="1" applyFont="1" applyFill="1" applyBorder="1" applyAlignment="1">
      <alignment wrapText="1"/>
    </xf>
    <xf numFmtId="0" fontId="5" fillId="0" borderId="0" xfId="1" applyFont="1" applyFill="1" applyBorder="1" applyAlignment="1">
      <alignment vertical="top" wrapText="1"/>
    </xf>
    <xf numFmtId="0" fontId="6" fillId="0" borderId="0" xfId="1" applyFont="1" applyFill="1" applyAlignment="1">
      <alignment wrapText="1"/>
    </xf>
    <xf numFmtId="0" fontId="6" fillId="0" borderId="0" xfId="1" applyFont="1" applyFill="1" applyBorder="1" applyAlignment="1">
      <alignment vertical="top"/>
    </xf>
    <xf numFmtId="166" fontId="5" fillId="0" borderId="0" xfId="1" applyNumberFormat="1" applyFont="1" applyFill="1" applyBorder="1" applyAlignment="1">
      <alignment vertical="top" wrapText="1"/>
    </xf>
    <xf numFmtId="0" fontId="8" fillId="10" borderId="0" xfId="0" applyFont="1" applyFill="1" applyAlignment="1"/>
    <xf numFmtId="0" fontId="7" fillId="0" borderId="0" xfId="0" applyFont="1" applyAlignment="1"/>
    <xf numFmtId="0" fontId="8" fillId="0" borderId="3" xfId="0" applyFont="1" applyFill="1" applyBorder="1" applyAlignment="1">
      <alignment wrapText="1"/>
    </xf>
    <xf numFmtId="0" fontId="7" fillId="0" borderId="0" xfId="0" applyFont="1" applyFill="1" applyAlignment="1"/>
    <xf numFmtId="0" fontId="6" fillId="0" borderId="0" xfId="0" applyFont="1" applyFill="1" applyBorder="1" applyAlignment="1">
      <alignment vertical="top" wrapText="1"/>
    </xf>
    <xf numFmtId="0" fontId="5" fillId="0" borderId="0" xfId="0" applyFont="1" applyFill="1" applyBorder="1" applyAlignment="1">
      <alignment vertical="top" wrapText="1"/>
    </xf>
    <xf numFmtId="0" fontId="15" fillId="0" borderId="0" xfId="0" applyFont="1" applyFill="1" applyBorder="1" applyAlignment="1">
      <alignment vertical="top" wrapText="1"/>
    </xf>
    <xf numFmtId="0" fontId="8" fillId="2" borderId="3" xfId="0" applyFont="1" applyFill="1" applyBorder="1" applyAlignment="1"/>
    <xf numFmtId="0" fontId="14" fillId="0" borderId="0" xfId="0" applyFont="1" applyFill="1" applyAlignment="1"/>
    <xf numFmtId="0" fontId="8" fillId="0" borderId="3" xfId="0" applyFont="1" applyBorder="1" applyAlignment="1"/>
    <xf numFmtId="0" fontId="17" fillId="0" borderId="0" xfId="0" applyFont="1" applyBorder="1" applyAlignment="1"/>
    <xf numFmtId="0" fontId="12" fillId="0" borderId="0" xfId="0" applyFont="1" applyFill="1" applyBorder="1" applyAlignment="1">
      <alignment vertical="top" wrapText="1"/>
    </xf>
    <xf numFmtId="0" fontId="15" fillId="0" borderId="0" xfId="0" applyFont="1" applyFill="1" applyBorder="1" applyAlignment="1">
      <alignment wrapText="1"/>
    </xf>
    <xf numFmtId="0" fontId="6" fillId="0" borderId="0" xfId="0" applyNumberFormat="1" applyFont="1" applyFill="1" applyBorder="1" applyAlignment="1">
      <alignment wrapText="1"/>
    </xf>
    <xf numFmtId="0" fontId="6" fillId="0" borderId="0" xfId="0" applyNumberFormat="1" applyFont="1" applyFill="1" applyBorder="1" applyAlignment="1">
      <alignment vertical="top" wrapText="1"/>
    </xf>
    <xf numFmtId="0" fontId="6" fillId="0" borderId="0" xfId="0" applyFont="1" applyFill="1" applyAlignment="1">
      <alignment wrapText="1"/>
    </xf>
    <xf numFmtId="0" fontId="15" fillId="0" borderId="0" xfId="0" applyNumberFormat="1" applyFont="1" applyBorder="1" applyAlignment="1">
      <alignment vertical="top" wrapText="1"/>
    </xf>
    <xf numFmtId="0" fontId="14" fillId="0" borderId="0" xfId="0" applyFont="1" applyAlignment="1"/>
    <xf numFmtId="0" fontId="20" fillId="0" borderId="0" xfId="0" applyFont="1" applyBorder="1" applyAlignment="1"/>
    <xf numFmtId="0" fontId="8" fillId="0" borderId="3" xfId="0" applyFont="1" applyBorder="1" applyAlignment="1">
      <alignment wrapText="1"/>
    </xf>
    <xf numFmtId="0" fontId="17" fillId="0" borderId="0" xfId="0" applyFont="1" applyFill="1" applyBorder="1" applyAlignment="1">
      <alignment wrapText="1"/>
    </xf>
    <xf numFmtId="4" fontId="6" fillId="0" borderId="0" xfId="0" applyNumberFormat="1" applyFont="1" applyFill="1" applyAlignment="1">
      <alignment vertical="top" wrapText="1"/>
    </xf>
    <xf numFmtId="0" fontId="5" fillId="0" borderId="0" xfId="0" applyFont="1" applyFill="1" applyBorder="1" applyAlignment="1">
      <alignment wrapText="1"/>
    </xf>
    <xf numFmtId="4" fontId="6" fillId="0" borderId="0" xfId="0" applyNumberFormat="1" applyFont="1" applyFill="1" applyBorder="1" applyAlignment="1"/>
    <xf numFmtId="4" fontId="6" fillId="0" borderId="0" xfId="0" applyNumberFormat="1" applyFont="1" applyFill="1" applyAlignment="1" applyProtection="1">
      <alignment vertical="top" wrapText="1"/>
    </xf>
    <xf numFmtId="4" fontId="5" fillId="0" borderId="0" xfId="0" applyNumberFormat="1" applyFont="1" applyFill="1" applyAlignment="1" applyProtection="1">
      <alignment vertical="top" wrapText="1"/>
    </xf>
    <xf numFmtId="4" fontId="15" fillId="0" borderId="0" xfId="0" applyNumberFormat="1" applyFont="1" applyFill="1" applyAlignment="1" applyProtection="1">
      <alignment vertical="top" wrapText="1"/>
    </xf>
    <xf numFmtId="0" fontId="14" fillId="0" borderId="0" xfId="0" applyFont="1" applyAlignment="1">
      <alignment wrapText="1"/>
    </xf>
    <xf numFmtId="0" fontId="5" fillId="0" borderId="0" xfId="0" applyFont="1" applyFill="1" applyAlignment="1">
      <alignment vertical="top" wrapText="1"/>
    </xf>
    <xf numFmtId="0" fontId="6" fillId="0" borderId="0" xfId="0" applyFont="1" applyFill="1" applyAlignment="1">
      <alignment vertical="top" wrapText="1"/>
    </xf>
    <xf numFmtId="0" fontId="5" fillId="0" borderId="0" xfId="0" applyNumberFormat="1" applyFont="1" applyFill="1" applyBorder="1" applyAlignment="1">
      <alignment vertical="top" wrapText="1"/>
    </xf>
    <xf numFmtId="4" fontId="15" fillId="0" borderId="0" xfId="0" applyNumberFormat="1" applyFont="1" applyFill="1" applyBorder="1" applyAlignment="1">
      <alignment vertical="top" wrapText="1"/>
    </xf>
    <xf numFmtId="4" fontId="5" fillId="0" borderId="0" xfId="0" applyNumberFormat="1" applyFont="1" applyFill="1" applyBorder="1" applyAlignment="1">
      <alignment vertical="top" wrapText="1"/>
    </xf>
    <xf numFmtId="4" fontId="14" fillId="0" borderId="0" xfId="0" applyNumberFormat="1" applyFont="1" applyFill="1" applyAlignment="1">
      <alignment vertical="top" wrapText="1"/>
    </xf>
    <xf numFmtId="4" fontId="6" fillId="0" borderId="0" xfId="0" applyNumberFormat="1" applyFont="1" applyFill="1" applyAlignment="1">
      <alignment wrapText="1"/>
    </xf>
    <xf numFmtId="0" fontId="8" fillId="0" borderId="3" xfId="0" applyFont="1" applyFill="1" applyBorder="1" applyAlignment="1">
      <alignment vertical="center"/>
    </xf>
    <xf numFmtId="4" fontId="8" fillId="0" borderId="0" xfId="0" applyNumberFormat="1" applyFont="1" applyFill="1" applyBorder="1" applyAlignment="1">
      <alignment vertical="center"/>
    </xf>
    <xf numFmtId="4" fontId="22" fillId="0" borderId="0" xfId="0" applyNumberFormat="1" applyFont="1" applyFill="1" applyBorder="1" applyAlignment="1">
      <alignment vertical="top" wrapText="1"/>
    </xf>
    <xf numFmtId="4" fontId="24" fillId="0" borderId="0" xfId="0" applyNumberFormat="1" applyFont="1" applyFill="1" applyBorder="1" applyAlignment="1">
      <alignment vertical="top" wrapText="1"/>
    </xf>
    <xf numFmtId="4" fontId="15" fillId="0" borderId="0" xfId="0" applyNumberFormat="1" applyFont="1" applyFill="1" applyAlignment="1">
      <alignment vertical="top" wrapText="1"/>
    </xf>
    <xf numFmtId="4" fontId="24" fillId="0" borderId="0" xfId="0" applyNumberFormat="1" applyFont="1" applyFill="1" applyAlignment="1">
      <alignment vertical="top" wrapText="1"/>
    </xf>
    <xf numFmtId="4" fontId="15" fillId="0" borderId="0" xfId="0" applyNumberFormat="1" applyFont="1" applyFill="1" applyAlignment="1">
      <alignment wrapText="1"/>
    </xf>
    <xf numFmtId="0" fontId="8" fillId="0" borderId="3" xfId="0" applyFont="1" applyFill="1" applyBorder="1" applyAlignment="1"/>
    <xf numFmtId="4" fontId="26" fillId="0" borderId="0" xfId="0" applyNumberFormat="1" applyFont="1" applyFill="1" applyAlignment="1">
      <alignment vertical="top"/>
    </xf>
    <xf numFmtId="4" fontId="27" fillId="0" borderId="0" xfId="0" applyNumberFormat="1" applyFont="1" applyFill="1" applyAlignment="1">
      <alignment vertical="top" wrapText="1"/>
    </xf>
    <xf numFmtId="4" fontId="15" fillId="0" borderId="0" xfId="0" applyNumberFormat="1" applyFont="1" applyFill="1" applyBorder="1" applyAlignment="1">
      <alignment vertical="top"/>
    </xf>
    <xf numFmtId="4" fontId="29" fillId="0" borderId="0" xfId="0" applyNumberFormat="1" applyFont="1" applyFill="1" applyAlignment="1">
      <alignment vertical="top" wrapText="1"/>
    </xf>
    <xf numFmtId="0" fontId="8" fillId="2" borderId="3" xfId="0" applyFont="1" applyFill="1" applyBorder="1" applyAlignment="1">
      <alignment vertical="top"/>
    </xf>
    <xf numFmtId="0" fontId="14" fillId="0" borderId="0" xfId="0" applyFont="1" applyAlignment="1">
      <alignment vertical="top" wrapText="1"/>
    </xf>
    <xf numFmtId="0" fontId="8" fillId="0" borderId="3" xfId="0" applyFont="1" applyBorder="1" applyAlignment="1">
      <alignment vertical="top"/>
    </xf>
    <xf numFmtId="4" fontId="6" fillId="0" borderId="0" xfId="0" applyNumberFormat="1" applyFont="1" applyAlignment="1">
      <alignment wrapText="1"/>
    </xf>
    <xf numFmtId="4" fontId="22" fillId="0" borderId="0" xfId="0" applyNumberFormat="1" applyFont="1" applyAlignment="1">
      <alignment wrapText="1"/>
    </xf>
    <xf numFmtId="0" fontId="8" fillId="0" borderId="3" xfId="0" applyFont="1" applyFill="1" applyBorder="1" applyAlignment="1">
      <alignment vertical="top" wrapText="1"/>
    </xf>
    <xf numFmtId="0" fontId="14" fillId="0" borderId="0" xfId="0" applyFont="1" applyFill="1" applyBorder="1" applyAlignment="1">
      <alignment vertical="top"/>
    </xf>
    <xf numFmtId="4" fontId="22" fillId="0" borderId="0" xfId="0" applyNumberFormat="1" applyFont="1" applyFill="1" applyAlignment="1">
      <alignment vertical="top" wrapText="1"/>
    </xf>
    <xf numFmtId="0" fontId="8" fillId="0" borderId="3" xfId="0" applyFont="1" applyFill="1" applyBorder="1" applyAlignment="1">
      <alignment vertical="top"/>
    </xf>
    <xf numFmtId="4" fontId="23" fillId="0" borderId="0" xfId="0" applyNumberFormat="1" applyFont="1" applyFill="1" applyBorder="1" applyAlignment="1">
      <alignment vertical="top" wrapText="1"/>
    </xf>
    <xf numFmtId="4" fontId="33" fillId="0" borderId="0" xfId="0" applyNumberFormat="1" applyFont="1" applyFill="1" applyBorder="1" applyAlignment="1">
      <alignment vertical="top" wrapText="1"/>
    </xf>
    <xf numFmtId="4" fontId="34" fillId="0" borderId="0" xfId="0" applyNumberFormat="1" applyFont="1" applyFill="1" applyBorder="1" applyAlignment="1">
      <alignment vertical="top" wrapText="1"/>
    </xf>
    <xf numFmtId="4" fontId="7" fillId="0" borderId="0" xfId="0" applyNumberFormat="1" applyFont="1" applyFill="1" applyBorder="1" applyAlignment="1">
      <alignment vertical="top" wrapText="1"/>
    </xf>
    <xf numFmtId="4" fontId="22" fillId="0" borderId="0" xfId="0" applyNumberFormat="1" applyFont="1" applyFill="1" applyAlignment="1">
      <alignment wrapText="1"/>
    </xf>
    <xf numFmtId="4" fontId="6" fillId="0" borderId="0" xfId="0" applyNumberFormat="1" applyFont="1" applyFill="1" applyAlignment="1"/>
    <xf numFmtId="4" fontId="8" fillId="0" borderId="0" xfId="0" applyNumberFormat="1" applyFont="1" applyFill="1" applyAlignment="1">
      <alignment vertical="top" wrapText="1"/>
    </xf>
    <xf numFmtId="4" fontId="23" fillId="0" borderId="0" xfId="0" applyNumberFormat="1" applyFont="1" applyFill="1" applyAlignment="1">
      <alignment vertical="top" wrapText="1"/>
    </xf>
    <xf numFmtId="4" fontId="6" fillId="0" borderId="0" xfId="0" applyNumberFormat="1" applyFont="1" applyFill="1" applyBorder="1" applyAlignment="1">
      <alignment vertical="top" wrapText="1"/>
    </xf>
    <xf numFmtId="4" fontId="23" fillId="0" borderId="0" xfId="0" applyNumberFormat="1" applyFont="1" applyFill="1" applyBorder="1" applyAlignment="1">
      <alignment vertical="top"/>
    </xf>
    <xf numFmtId="4" fontId="6" fillId="0" borderId="0" xfId="2" applyNumberFormat="1" applyFont="1" applyFill="1" applyBorder="1" applyAlignment="1" applyProtection="1">
      <alignment vertical="top" wrapText="1"/>
    </xf>
    <xf numFmtId="4" fontId="21" fillId="0" borderId="0" xfId="2" applyNumberFormat="1" applyFont="1" applyFill="1" applyBorder="1" applyAlignment="1" applyProtection="1">
      <alignment vertical="top" wrapText="1"/>
    </xf>
    <xf numFmtId="0" fontId="6" fillId="0" borderId="0" xfId="0" applyFont="1" applyAlignment="1">
      <alignment vertical="top" wrapText="1"/>
    </xf>
    <xf numFmtId="0" fontId="35" fillId="0" borderId="0" xfId="0" applyFont="1" applyAlignment="1">
      <alignment vertical="top" wrapText="1"/>
    </xf>
    <xf numFmtId="4" fontId="5" fillId="0" borderId="0" xfId="0" applyNumberFormat="1" applyFont="1" applyFill="1" applyAlignment="1">
      <alignment vertical="top" wrapText="1"/>
    </xf>
    <xf numFmtId="4" fontId="32" fillId="0" borderId="0" xfId="0" applyNumberFormat="1" applyFont="1" applyFill="1" applyAlignment="1"/>
    <xf numFmtId="4" fontId="5" fillId="0" borderId="0" xfId="0" applyNumberFormat="1" applyFont="1" applyFill="1" applyAlignment="1">
      <alignment wrapText="1"/>
    </xf>
    <xf numFmtId="0" fontId="5" fillId="0" borderId="0" xfId="0" applyFont="1" applyFill="1" applyAlignment="1">
      <alignment wrapText="1"/>
    </xf>
    <xf numFmtId="0" fontId="6" fillId="0" borderId="0" xfId="0" applyFont="1" applyFill="1" applyBorder="1" applyAlignment="1">
      <alignment wrapText="1"/>
    </xf>
    <xf numFmtId="0" fontId="6" fillId="0" borderId="0" xfId="0" applyFont="1" applyFill="1" applyBorder="1" applyAlignment="1"/>
    <xf numFmtId="0" fontId="8" fillId="0" borderId="0" xfId="0" applyFont="1" applyFill="1" applyAlignment="1">
      <alignment vertical="top"/>
    </xf>
    <xf numFmtId="0" fontId="33" fillId="0" borderId="0" xfId="0" applyFont="1" applyAlignment="1">
      <alignment vertical="top"/>
    </xf>
    <xf numFmtId="0" fontId="37" fillId="0" borderId="0" xfId="0" applyFont="1" applyFill="1" applyBorder="1" applyAlignment="1">
      <alignment vertical="top"/>
    </xf>
    <xf numFmtId="0" fontId="39" fillId="0" borderId="0" xfId="0" applyFont="1" applyFill="1" applyBorder="1" applyAlignment="1">
      <alignment vertical="top"/>
    </xf>
    <xf numFmtId="0" fontId="38" fillId="0" borderId="0" xfId="0" applyFont="1" applyFill="1" applyBorder="1" applyAlignment="1">
      <alignment vertical="top"/>
    </xf>
    <xf numFmtId="0" fontId="45" fillId="0" borderId="0" xfId="0" applyFont="1" applyBorder="1" applyAlignment="1"/>
    <xf numFmtId="0" fontId="6" fillId="0" borderId="0" xfId="0" applyFont="1" applyBorder="1" applyAlignment="1">
      <alignment vertical="top"/>
    </xf>
    <xf numFmtId="0" fontId="8" fillId="0" borderId="0" xfId="0" applyFont="1" applyAlignment="1">
      <alignment vertical="top"/>
    </xf>
    <xf numFmtId="0" fontId="15" fillId="0" borderId="0" xfId="0" applyFont="1" applyFill="1" applyAlignment="1">
      <alignment vertical="top" wrapText="1"/>
    </xf>
    <xf numFmtId="0" fontId="36" fillId="0" borderId="0" xfId="0" applyFont="1" applyFill="1" applyBorder="1" applyAlignment="1">
      <alignment vertical="top"/>
    </xf>
    <xf numFmtId="0" fontId="45" fillId="0" borderId="0" xfId="0" applyFont="1" applyFill="1" applyBorder="1" applyAlignment="1">
      <alignment vertical="top"/>
    </xf>
    <xf numFmtId="0" fontId="39" fillId="0" borderId="0" xfId="0" applyFont="1" applyFill="1" applyAlignment="1">
      <alignment vertical="top" wrapText="1"/>
    </xf>
    <xf numFmtId="0" fontId="36" fillId="0" borderId="0" xfId="0" applyFont="1" applyFill="1" applyBorder="1" applyAlignment="1">
      <alignment vertical="top" wrapText="1"/>
    </xf>
    <xf numFmtId="0" fontId="36" fillId="0" borderId="0" xfId="0" applyFont="1" applyFill="1" applyAlignment="1">
      <alignment vertical="top" wrapText="1"/>
    </xf>
    <xf numFmtId="0" fontId="36" fillId="0" borderId="0" xfId="0" applyFont="1" applyFill="1" applyAlignment="1">
      <alignment vertical="top"/>
    </xf>
    <xf numFmtId="0" fontId="5" fillId="0" borderId="0" xfId="0" applyFont="1" applyAlignment="1">
      <alignment wrapText="1"/>
    </xf>
    <xf numFmtId="0" fontId="36" fillId="0" borderId="0" xfId="0" applyFont="1" applyFill="1" applyAlignment="1">
      <alignment wrapText="1"/>
    </xf>
    <xf numFmtId="0" fontId="6" fillId="0" borderId="0" xfId="0" applyFont="1" applyBorder="1" applyAlignment="1">
      <alignment vertical="top" wrapText="1"/>
    </xf>
    <xf numFmtId="0" fontId="39" fillId="0" borderId="0" xfId="0" applyFont="1" applyBorder="1" applyAlignment="1">
      <alignment vertical="top" wrapText="1"/>
    </xf>
    <xf numFmtId="0" fontId="8" fillId="0" borderId="0" xfId="0" applyFont="1" applyAlignment="1"/>
    <xf numFmtId="0" fontId="32" fillId="0" borderId="0" xfId="0" applyFont="1" applyAlignment="1"/>
    <xf numFmtId="0" fontId="43" fillId="0" borderId="0" xfId="0" applyFont="1" applyBorder="1" applyAlignment="1">
      <alignment wrapText="1"/>
    </xf>
    <xf numFmtId="0" fontId="22" fillId="0" borderId="0" xfId="0" applyFont="1" applyFill="1" applyBorder="1" applyAlignment="1">
      <alignment vertical="top" wrapText="1"/>
    </xf>
    <xf numFmtId="0" fontId="43" fillId="0" borderId="0" xfId="0" applyFont="1" applyFill="1" applyBorder="1" applyAlignment="1">
      <alignment vertical="top"/>
    </xf>
    <xf numFmtId="0" fontId="49" fillId="0" borderId="0" xfId="0" applyFont="1" applyFill="1" applyBorder="1" applyAlignment="1">
      <alignment vertical="top"/>
    </xf>
    <xf numFmtId="0" fontId="22" fillId="0" borderId="0" xfId="0" applyFont="1" applyFill="1" applyBorder="1" applyAlignment="1">
      <alignment vertical="top"/>
    </xf>
    <xf numFmtId="0" fontId="7" fillId="0" borderId="0" xfId="0" applyFont="1" applyFill="1" applyBorder="1" applyAlignment="1">
      <alignment wrapText="1"/>
    </xf>
    <xf numFmtId="0" fontId="23" fillId="0" borderId="0" xfId="0" applyFont="1" applyFill="1" applyBorder="1" applyAlignment="1"/>
    <xf numFmtId="0" fontId="23" fillId="0" borderId="0" xfId="0" applyFont="1" applyBorder="1" applyAlignment="1">
      <alignment wrapText="1"/>
    </xf>
    <xf numFmtId="0" fontId="6" fillId="0" borderId="0" xfId="0" applyFont="1" applyBorder="1" applyAlignment="1"/>
    <xf numFmtId="0" fontId="23" fillId="0" borderId="0" xfId="0" applyFont="1" applyAlignment="1"/>
    <xf numFmtId="0" fontId="4" fillId="0" borderId="0" xfId="0" applyFont="1" applyAlignment="1"/>
    <xf numFmtId="0" fontId="4" fillId="0" borderId="0" xfId="0" applyFont="1" applyFill="1" applyBorder="1" applyAlignment="1"/>
    <xf numFmtId="4" fontId="6" fillId="0" borderId="0" xfId="0" applyNumberFormat="1" applyFont="1" applyAlignment="1">
      <alignment vertical="top" wrapText="1"/>
    </xf>
    <xf numFmtId="0" fontId="22" fillId="0" borderId="0" xfId="0" applyFont="1" applyFill="1" applyAlignment="1">
      <alignment vertical="top" wrapText="1"/>
    </xf>
    <xf numFmtId="0" fontId="33" fillId="0" borderId="0" xfId="0" applyFont="1" applyBorder="1" applyAlignment="1">
      <alignment wrapText="1"/>
    </xf>
    <xf numFmtId="0" fontId="7" fillId="0" borderId="0" xfId="0" applyFont="1" applyBorder="1" applyAlignment="1">
      <alignment wrapText="1"/>
    </xf>
    <xf numFmtId="0" fontId="33" fillId="0" borderId="0" xfId="0" applyFont="1" applyFill="1" applyBorder="1" applyAlignment="1"/>
    <xf numFmtId="0" fontId="3" fillId="0" borderId="0" xfId="0" applyFont="1" applyFill="1" applyBorder="1" applyAlignment="1">
      <alignment vertical="top"/>
    </xf>
    <xf numFmtId="0" fontId="33" fillId="0" borderId="0" xfId="0" applyFont="1" applyFill="1" applyBorder="1" applyAlignment="1">
      <alignment vertical="top"/>
    </xf>
    <xf numFmtId="0" fontId="53" fillId="10" borderId="0" xfId="0" applyFont="1" applyFill="1" applyAlignment="1"/>
    <xf numFmtId="0" fontId="7" fillId="0" borderId="0" xfId="0" applyFont="1" applyFill="1" applyBorder="1" applyAlignment="1">
      <alignment vertical="top"/>
    </xf>
    <xf numFmtId="0" fontId="53" fillId="0" borderId="3" xfId="0" applyFont="1" applyFill="1" applyBorder="1" applyAlignment="1">
      <alignment wrapText="1"/>
    </xf>
    <xf numFmtId="0" fontId="55" fillId="0" borderId="0" xfId="0" applyFont="1" applyFill="1" applyBorder="1" applyAlignment="1">
      <alignment vertical="top" wrapText="1"/>
    </xf>
    <xf numFmtId="0" fontId="53" fillId="2" borderId="3" xfId="0" applyFont="1" applyFill="1" applyBorder="1" applyAlignment="1"/>
    <xf numFmtId="0" fontId="53" fillId="0" borderId="3" xfId="0" applyFont="1" applyBorder="1" applyAlignment="1"/>
    <xf numFmtId="0" fontId="7" fillId="0" borderId="0" xfId="0" applyFont="1" applyBorder="1" applyAlignment="1"/>
    <xf numFmtId="0" fontId="55" fillId="0" borderId="0" xfId="0" applyFont="1" applyFill="1" applyBorder="1" applyAlignment="1"/>
    <xf numFmtId="0" fontId="55" fillId="0" borderId="0" xfId="0" applyFont="1" applyBorder="1" applyAlignment="1"/>
    <xf numFmtId="4" fontId="55" fillId="0" borderId="0" xfId="0" applyNumberFormat="1" applyFont="1" applyFill="1" applyAlignment="1">
      <alignment vertical="top" wrapText="1"/>
    </xf>
    <xf numFmtId="0" fontId="55" fillId="0" borderId="0" xfId="0" applyFont="1" applyFill="1" applyBorder="1" applyAlignment="1">
      <alignment wrapText="1"/>
    </xf>
    <xf numFmtId="0" fontId="53" fillId="0" borderId="3" xfId="0" applyFont="1" applyBorder="1" applyAlignment="1">
      <alignment wrapText="1"/>
    </xf>
    <xf numFmtId="0" fontId="7" fillId="0" borderId="0" xfId="0" applyFont="1" applyFill="1" applyBorder="1" applyAlignment="1"/>
    <xf numFmtId="0" fontId="63" fillId="0" borderId="0" xfId="0" applyFont="1" applyFill="1" applyBorder="1" applyAlignment="1"/>
    <xf numFmtId="0" fontId="55" fillId="0" borderId="0" xfId="0" applyFont="1" applyFill="1" applyAlignment="1">
      <alignment wrapText="1"/>
    </xf>
    <xf numFmtId="0" fontId="53" fillId="2" borderId="3" xfId="0" applyFont="1" applyFill="1" applyBorder="1" applyAlignment="1">
      <alignment wrapText="1"/>
    </xf>
    <xf numFmtId="4" fontId="64" fillId="0" borderId="0" xfId="0" applyNumberFormat="1" applyFont="1" applyFill="1" applyBorder="1" applyAlignment="1">
      <alignment vertical="top" wrapText="1"/>
    </xf>
    <xf numFmtId="0" fontId="55" fillId="0" borderId="0" xfId="0" applyFont="1" applyAlignment="1"/>
    <xf numFmtId="4" fontId="65" fillId="0" borderId="0" xfId="0" applyNumberFormat="1" applyFont="1" applyFill="1" applyBorder="1" applyAlignment="1">
      <alignment vertical="top" wrapText="1"/>
    </xf>
    <xf numFmtId="4" fontId="55" fillId="0" borderId="0" xfId="0" applyNumberFormat="1" applyFont="1" applyFill="1" applyBorder="1" applyAlignment="1">
      <alignment vertical="distributed" wrapText="1"/>
    </xf>
    <xf numFmtId="4" fontId="55" fillId="0" borderId="0" xfId="0" applyNumberFormat="1" applyFont="1" applyFill="1" applyBorder="1" applyAlignment="1">
      <alignment wrapText="1"/>
    </xf>
    <xf numFmtId="0" fontId="63" fillId="0" borderId="0" xfId="0" applyFont="1" applyBorder="1" applyAlignment="1">
      <alignment wrapText="1"/>
    </xf>
    <xf numFmtId="0" fontId="63" fillId="0" borderId="0" xfId="0" applyFont="1" applyAlignment="1"/>
    <xf numFmtId="0" fontId="66" fillId="0" borderId="0" xfId="0" applyFont="1" applyFill="1" applyBorder="1" applyAlignment="1">
      <alignment vertical="top" wrapText="1"/>
    </xf>
    <xf numFmtId="0" fontId="65" fillId="0" borderId="0" xfId="0" applyFont="1" applyFill="1" applyBorder="1" applyAlignment="1">
      <alignment vertical="top" wrapText="1"/>
    </xf>
    <xf numFmtId="0" fontId="65" fillId="0" borderId="0" xfId="0" applyFont="1" applyFill="1" applyBorder="1" applyAlignment="1">
      <alignment wrapText="1"/>
    </xf>
    <xf numFmtId="0" fontId="64" fillId="0" borderId="0" xfId="0" applyFont="1" applyFill="1" applyBorder="1" applyAlignment="1">
      <alignment wrapText="1"/>
    </xf>
    <xf numFmtId="0" fontId="63" fillId="0" borderId="0" xfId="0" applyFont="1" applyFill="1" applyAlignment="1">
      <alignment wrapText="1"/>
    </xf>
    <xf numFmtId="0" fontId="67" fillId="0" borderId="0" xfId="0" applyFont="1" applyFill="1" applyBorder="1" applyAlignment="1">
      <alignment vertical="top"/>
    </xf>
    <xf numFmtId="0" fontId="63" fillId="0" borderId="0" xfId="0" applyFont="1" applyFill="1" applyBorder="1" applyAlignment="1">
      <alignment wrapText="1"/>
    </xf>
    <xf numFmtId="4" fontId="65" fillId="0" borderId="0" xfId="0" applyNumberFormat="1" applyFont="1" applyFill="1" applyBorder="1" applyAlignment="1">
      <alignment wrapText="1"/>
    </xf>
    <xf numFmtId="0" fontId="55" fillId="0" borderId="0" xfId="0" applyFont="1" applyAlignment="1">
      <alignment wrapText="1"/>
    </xf>
    <xf numFmtId="0" fontId="53" fillId="3" borderId="3" xfId="0" applyFont="1" applyFill="1" applyBorder="1" applyAlignment="1">
      <alignment vertical="center" wrapText="1"/>
    </xf>
    <xf numFmtId="0" fontId="67" fillId="0" borderId="0" xfId="0" applyFont="1" applyFill="1" applyBorder="1" applyAlignment="1"/>
    <xf numFmtId="4" fontId="64" fillId="0" borderId="0" xfId="0" applyNumberFormat="1" applyFont="1" applyFill="1" applyBorder="1" applyAlignment="1">
      <alignment wrapText="1"/>
    </xf>
    <xf numFmtId="4" fontId="5" fillId="0" borderId="0" xfId="0" applyNumberFormat="1" applyFont="1" applyFill="1" applyBorder="1" applyAlignment="1">
      <alignment wrapText="1"/>
    </xf>
    <xf numFmtId="4" fontId="8" fillId="10" borderId="0" xfId="0" applyNumberFormat="1" applyFont="1" applyFill="1" applyAlignment="1"/>
    <xf numFmtId="4" fontId="7" fillId="0" borderId="0" xfId="0" applyNumberFormat="1" applyFont="1" applyAlignment="1"/>
    <xf numFmtId="4" fontId="8" fillId="0" borderId="3" xfId="0" applyNumberFormat="1" applyFont="1" applyBorder="1" applyAlignment="1">
      <alignment wrapText="1"/>
    </xf>
    <xf numFmtId="4" fontId="8" fillId="0" borderId="0" xfId="0" applyNumberFormat="1" applyFont="1" applyAlignment="1"/>
    <xf numFmtId="4" fontId="6" fillId="0" borderId="0" xfId="0" applyNumberFormat="1" applyFont="1" applyBorder="1" applyAlignment="1">
      <alignment vertical="top" wrapText="1"/>
    </xf>
    <xf numFmtId="4" fontId="52" fillId="0" borderId="0" xfId="0" applyNumberFormat="1" applyFont="1" applyFill="1" applyAlignment="1"/>
    <xf numFmtId="4" fontId="8" fillId="2" borderId="3" xfId="0" applyNumberFormat="1" applyFont="1" applyFill="1" applyBorder="1" applyAlignment="1">
      <alignment vertical="center"/>
    </xf>
    <xf numFmtId="4" fontId="23" fillId="0" borderId="0" xfId="0" applyNumberFormat="1" applyFont="1" applyFill="1" applyBorder="1" applyAlignment="1">
      <alignment vertical="center"/>
    </xf>
    <xf numFmtId="4" fontId="8" fillId="0" borderId="3" xfId="0" applyNumberFormat="1" applyFont="1" applyBorder="1" applyAlignment="1"/>
    <xf numFmtId="4" fontId="5" fillId="0" borderId="0" xfId="0" applyNumberFormat="1" applyFont="1" applyBorder="1" applyAlignment="1">
      <alignment vertical="top" wrapText="1"/>
    </xf>
    <xf numFmtId="4" fontId="8" fillId="2" borderId="3" xfId="0" applyNumberFormat="1" applyFont="1" applyFill="1" applyBorder="1" applyAlignment="1"/>
    <xf numFmtId="4" fontId="23" fillId="0" borderId="0" xfId="0" applyNumberFormat="1" applyFont="1" applyFill="1" applyBorder="1" applyAlignment="1"/>
    <xf numFmtId="4" fontId="8" fillId="4" borderId="2" xfId="0" applyNumberFormat="1" applyFont="1" applyFill="1" applyBorder="1" applyAlignment="1">
      <alignment vertical="top" wrapText="1"/>
    </xf>
    <xf numFmtId="43" fontId="0" fillId="0" borderId="0" xfId="13" applyFont="1"/>
    <xf numFmtId="43" fontId="0" fillId="0" borderId="0" xfId="13" applyFont="1" applyAlignment="1">
      <alignment horizontal="center"/>
    </xf>
    <xf numFmtId="0" fontId="8" fillId="2" borderId="9" xfId="1" applyFont="1" applyFill="1" applyBorder="1" applyAlignment="1"/>
    <xf numFmtId="164" fontId="74" fillId="0" borderId="0" xfId="4" applyFont="1" applyBorder="1" applyAlignment="1" applyProtection="1"/>
    <xf numFmtId="164" fontId="74" fillId="5" borderId="0" xfId="4" applyFont="1" applyFill="1" applyBorder="1" applyAlignment="1" applyProtection="1"/>
    <xf numFmtId="164" fontId="73" fillId="0" borderId="0" xfId="4" applyFont="1" applyFill="1" applyBorder="1" applyAlignment="1" applyProtection="1"/>
    <xf numFmtId="0" fontId="74" fillId="0" borderId="0" xfId="3" applyFont="1" applyFill="1" applyBorder="1" applyAlignment="1" applyProtection="1">
      <alignment vertical="center"/>
    </xf>
    <xf numFmtId="0" fontId="73" fillId="0" borderId="0" xfId="3" applyFont="1" applyBorder="1" applyAlignment="1"/>
    <xf numFmtId="0" fontId="71" fillId="0" borderId="0" xfId="3" applyFont="1" applyAlignment="1"/>
    <xf numFmtId="0" fontId="66" fillId="0" borderId="0" xfId="5" applyFont="1" applyAlignment="1">
      <alignment horizontal="left" vertical="top" wrapText="1"/>
    </xf>
    <xf numFmtId="0" fontId="50" fillId="0" borderId="1" xfId="1" applyFont="1" applyFill="1" applyBorder="1" applyAlignment="1">
      <alignment horizontal="left" vertical="center"/>
    </xf>
    <xf numFmtId="0" fontId="73" fillId="0" borderId="0" xfId="0" applyFont="1" applyFill="1" applyBorder="1" applyAlignment="1">
      <alignment horizontal="left" wrapText="1"/>
    </xf>
    <xf numFmtId="0" fontId="108" fillId="0" borderId="0" xfId="5" applyFont="1" applyAlignment="1">
      <alignment horizontal="left" vertical="top"/>
    </xf>
    <xf numFmtId="0" fontId="103" fillId="0" borderId="0" xfId="0" applyFont="1" applyFill="1" applyBorder="1" applyAlignment="1">
      <alignment horizontal="left" vertical="top"/>
    </xf>
    <xf numFmtId="0" fontId="6" fillId="0" borderId="0" xfId="1" applyFont="1" applyFill="1" applyBorder="1" applyAlignment="1">
      <alignment horizontal="left" wrapText="1"/>
    </xf>
    <xf numFmtId="0" fontId="69" fillId="0" borderId="0" xfId="0" applyNumberFormat="1" applyFont="1" applyFill="1" applyBorder="1" applyAlignment="1">
      <alignment horizontal="left" vertical="top" wrapText="1"/>
    </xf>
    <xf numFmtId="0" fontId="6" fillId="0" borderId="0" xfId="1" applyFont="1" applyFill="1" applyBorder="1" applyAlignment="1">
      <alignment horizontal="left" vertical="center" wrapText="1"/>
    </xf>
    <xf numFmtId="0" fontId="69" fillId="0" borderId="0" xfId="0" applyNumberFormat="1" applyFont="1" applyBorder="1" applyAlignment="1">
      <alignment horizontal="left" vertical="top" wrapText="1"/>
    </xf>
    <xf numFmtId="0" fontId="6" fillId="0" borderId="0" xfId="1" applyFont="1" applyFill="1" applyAlignment="1">
      <alignment horizontal="left" vertical="top"/>
    </xf>
    <xf numFmtId="0" fontId="50" fillId="0" borderId="0" xfId="1" applyFont="1" applyBorder="1" applyAlignment="1">
      <alignment horizontal="center" vertical="center" wrapText="1"/>
    </xf>
    <xf numFmtId="0" fontId="50" fillId="0" borderId="0" xfId="1" applyFont="1" applyFill="1" applyBorder="1" applyAlignment="1">
      <alignment horizontal="left" vertical="center"/>
    </xf>
    <xf numFmtId="0" fontId="50" fillId="0" borderId="0" xfId="1" applyFont="1" applyFill="1" applyBorder="1" applyAlignment="1">
      <alignment horizontal="center" vertical="center" wrapText="1"/>
    </xf>
    <xf numFmtId="4" fontId="50" fillId="0" borderId="0" xfId="1" applyNumberFormat="1" applyFont="1" applyFill="1" applyBorder="1" applyAlignment="1">
      <alignment horizontal="center" vertical="center" wrapText="1"/>
    </xf>
    <xf numFmtId="0" fontId="50" fillId="0" borderId="0" xfId="1" applyFont="1" applyFill="1" applyBorder="1" applyAlignment="1">
      <alignment horizontal="center" vertical="center"/>
    </xf>
    <xf numFmtId="0" fontId="111" fillId="12" borderId="2" xfId="0" applyFont="1" applyFill="1" applyBorder="1" applyAlignment="1">
      <alignment horizontal="center" vertical="top"/>
    </xf>
    <xf numFmtId="4" fontId="112" fillId="12" borderId="3" xfId="0" applyNumberFormat="1" applyFont="1" applyFill="1" applyBorder="1" applyAlignment="1"/>
    <xf numFmtId="4" fontId="112" fillId="12" borderId="3" xfId="0" applyNumberFormat="1" applyFont="1" applyFill="1" applyBorder="1" applyAlignment="1">
      <alignment horizontal="left"/>
    </xf>
    <xf numFmtId="4" fontId="111" fillId="12" borderId="3" xfId="0" applyNumberFormat="1" applyFont="1" applyFill="1" applyBorder="1" applyAlignment="1">
      <alignment horizontal="center"/>
    </xf>
    <xf numFmtId="4" fontId="111" fillId="12" borderId="3" xfId="0" applyNumberFormat="1" applyFont="1" applyFill="1" applyBorder="1" applyAlignment="1">
      <alignment horizontal="right" vertical="top" wrapText="1"/>
    </xf>
    <xf numFmtId="4" fontId="111" fillId="12" borderId="3" xfId="0" applyNumberFormat="1" applyFont="1" applyFill="1" applyBorder="1" applyAlignment="1">
      <alignment horizontal="right"/>
    </xf>
    <xf numFmtId="4" fontId="112" fillId="12" borderId="4" xfId="0" applyNumberFormat="1" applyFont="1" applyFill="1" applyBorder="1" applyAlignment="1">
      <alignment horizontal="right"/>
    </xf>
    <xf numFmtId="0" fontId="112" fillId="12" borderId="9" xfId="1" applyFont="1" applyFill="1" applyBorder="1" applyAlignment="1">
      <alignment horizontal="left" vertical="top"/>
    </xf>
    <xf numFmtId="0" fontId="112" fillId="12" borderId="9" xfId="1" applyFont="1" applyFill="1" applyBorder="1" applyAlignment="1">
      <alignment vertical="top"/>
    </xf>
    <xf numFmtId="0" fontId="106" fillId="12" borderId="2" xfId="0" applyFont="1" applyFill="1" applyBorder="1" applyAlignment="1">
      <alignment horizontal="center" vertical="top"/>
    </xf>
    <xf numFmtId="4" fontId="106" fillId="12" borderId="3" xfId="0" applyNumberFormat="1" applyFont="1" applyFill="1" applyBorder="1" applyAlignment="1">
      <alignment vertical="center"/>
    </xf>
    <xf numFmtId="4" fontId="106" fillId="12" borderId="3" xfId="0" applyNumberFormat="1" applyFont="1" applyFill="1" applyBorder="1" applyAlignment="1">
      <alignment horizontal="left" vertical="center"/>
    </xf>
    <xf numFmtId="0" fontId="106" fillId="12" borderId="3" xfId="0" applyFont="1" applyFill="1" applyBorder="1" applyAlignment="1">
      <alignment horizontal="center"/>
    </xf>
    <xf numFmtId="4" fontId="106" fillId="12" borderId="3" xfId="0" applyNumberFormat="1" applyFont="1" applyFill="1" applyBorder="1" applyAlignment="1"/>
    <xf numFmtId="0" fontId="111" fillId="13" borderId="0" xfId="1" applyFont="1" applyFill="1" applyAlignment="1">
      <alignment horizontal="center" vertical="top"/>
    </xf>
    <xf numFmtId="0" fontId="106" fillId="12" borderId="3" xfId="0" applyFont="1" applyFill="1" applyBorder="1" applyAlignment="1">
      <alignment horizontal="left"/>
    </xf>
    <xf numFmtId="0" fontId="114" fillId="12" borderId="3" xfId="0" applyFont="1" applyFill="1" applyBorder="1" applyAlignment="1">
      <alignment horizontal="left"/>
    </xf>
    <xf numFmtId="4" fontId="106" fillId="12" borderId="3" xfId="0" applyNumberFormat="1" applyFont="1" applyFill="1" applyBorder="1" applyAlignment="1">
      <alignment horizontal="center"/>
    </xf>
    <xf numFmtId="4" fontId="106" fillId="12" borderId="4" xfId="0" applyNumberFormat="1" applyFont="1" applyFill="1" applyBorder="1" applyAlignment="1"/>
    <xf numFmtId="0" fontId="111" fillId="14" borderId="2" xfId="0" applyFont="1" applyFill="1" applyBorder="1" applyAlignment="1">
      <alignment horizontal="center" vertical="center"/>
    </xf>
    <xf numFmtId="4" fontId="111" fillId="14" borderId="4" xfId="0" applyNumberFormat="1" applyFont="1" applyFill="1" applyBorder="1" applyAlignment="1"/>
    <xf numFmtId="0" fontId="106" fillId="12" borderId="2" xfId="0" applyFont="1" applyFill="1" applyBorder="1" applyAlignment="1">
      <alignment horizontal="left" vertical="top"/>
    </xf>
    <xf numFmtId="4" fontId="106" fillId="12" borderId="3" xfId="0" applyNumberFormat="1" applyFont="1" applyFill="1" applyBorder="1" applyAlignment="1">
      <alignment horizontal="left"/>
    </xf>
    <xf numFmtId="4" fontId="106" fillId="12" borderId="4" xfId="0" applyNumberFormat="1" applyFont="1" applyFill="1" applyBorder="1" applyAlignment="1">
      <alignment horizontal="right"/>
    </xf>
    <xf numFmtId="0" fontId="116" fillId="13" borderId="25" xfId="9" applyFont="1" applyFill="1" applyBorder="1" applyAlignment="1">
      <alignment horizontal="center" vertical="center"/>
    </xf>
    <xf numFmtId="0" fontId="113" fillId="13" borderId="25" xfId="1" applyFont="1" applyFill="1" applyBorder="1" applyAlignment="1">
      <alignment horizontal="left"/>
    </xf>
    <xf numFmtId="0" fontId="117" fillId="13" borderId="25" xfId="9" applyFont="1" applyFill="1" applyBorder="1" applyAlignment="1">
      <alignment horizontal="left"/>
    </xf>
    <xf numFmtId="0" fontId="117" fillId="13" borderId="25" xfId="9" applyFont="1" applyFill="1" applyBorder="1" applyAlignment="1">
      <alignment horizontal="center"/>
    </xf>
    <xf numFmtId="1" fontId="117" fillId="13" borderId="25" xfId="9" applyNumberFormat="1" applyFont="1" applyFill="1" applyBorder="1" applyAlignment="1">
      <alignment horizontal="center" vertical="center"/>
    </xf>
    <xf numFmtId="1" fontId="117" fillId="13" borderId="25" xfId="9" applyNumberFormat="1" applyFont="1" applyFill="1" applyBorder="1" applyAlignment="1">
      <alignment vertical="center"/>
    </xf>
    <xf numFmtId="4" fontId="117" fillId="13" borderId="25" xfId="9" applyNumberFormat="1" applyFont="1" applyFill="1" applyBorder="1" applyAlignment="1">
      <alignment vertical="center"/>
    </xf>
    <xf numFmtId="4" fontId="106" fillId="12" borderId="2" xfId="0" applyNumberFormat="1" applyFont="1" applyFill="1" applyBorder="1" applyAlignment="1">
      <alignment horizontal="right" vertical="top"/>
    </xf>
    <xf numFmtId="0" fontId="111" fillId="13" borderId="0" xfId="1" applyFont="1" applyFill="1" applyAlignment="1">
      <alignment horizontal="left" vertical="top"/>
    </xf>
    <xf numFmtId="0" fontId="64" fillId="0" borderId="21" xfId="9" applyFont="1" applyBorder="1" applyAlignment="1">
      <alignment horizontal="left" wrapText="1"/>
    </xf>
    <xf numFmtId="1" fontId="74" fillId="0" borderId="21" xfId="9" applyNumberFormat="1" applyFont="1" applyFill="1" applyBorder="1" applyAlignment="1">
      <alignment horizontal="left"/>
    </xf>
    <xf numFmtId="0" fontId="64" fillId="0" borderId="0" xfId="9" applyFont="1" applyBorder="1" applyAlignment="1">
      <alignment horizontal="left" wrapText="1"/>
    </xf>
    <xf numFmtId="0" fontId="73" fillId="0" borderId="0" xfId="1" applyNumberFormat="1" applyFont="1" applyFill="1" applyBorder="1" applyAlignment="1">
      <alignment horizontal="justify" vertical="top"/>
    </xf>
    <xf numFmtId="0" fontId="7" fillId="2" borderId="36" xfId="1" applyFont="1" applyFill="1" applyBorder="1" applyAlignment="1">
      <alignment horizontal="left" vertical="top"/>
    </xf>
    <xf numFmtId="0" fontId="113" fillId="13" borderId="36" xfId="1" applyFont="1" applyFill="1" applyBorder="1" applyAlignment="1">
      <alignment horizontal="left"/>
    </xf>
    <xf numFmtId="0" fontId="106" fillId="12" borderId="38" xfId="0" applyFont="1" applyFill="1" applyBorder="1" applyAlignment="1">
      <alignment horizontal="left"/>
    </xf>
    <xf numFmtId="1" fontId="74" fillId="0" borderId="0" xfId="9" applyNumberFormat="1" applyFont="1" applyFill="1" applyBorder="1" applyAlignment="1">
      <alignment horizontal="left"/>
    </xf>
    <xf numFmtId="0" fontId="73" fillId="0" borderId="0" xfId="1" applyNumberFormat="1" applyFont="1" applyFill="1" applyAlignment="1">
      <alignment horizontal="left" vertical="top"/>
    </xf>
    <xf numFmtId="0" fontId="64" fillId="0" borderId="21" xfId="9" applyFont="1" applyBorder="1" applyAlignment="1">
      <alignment horizontal="left"/>
    </xf>
    <xf numFmtId="4" fontId="64" fillId="0" borderId="0" xfId="9" applyNumberFormat="1" applyFont="1" applyBorder="1" applyAlignment="1"/>
    <xf numFmtId="0" fontId="103" fillId="0" borderId="0" xfId="0" applyFont="1" applyFill="1" applyBorder="1" applyAlignment="1"/>
    <xf numFmtId="4" fontId="50" fillId="0" borderId="0" xfId="1" applyNumberFormat="1" applyFont="1" applyFill="1" applyBorder="1" applyAlignment="1">
      <alignment horizontal="center" wrapText="1"/>
    </xf>
    <xf numFmtId="0" fontId="69" fillId="0" borderId="0" xfId="0" applyFont="1" applyFill="1" applyBorder="1" applyAlignment="1"/>
    <xf numFmtId="0" fontId="69" fillId="0" borderId="0" xfId="0" applyFont="1" applyBorder="1" applyAlignment="1"/>
    <xf numFmtId="1" fontId="74" fillId="0" borderId="0" xfId="9" applyNumberFormat="1" applyFont="1" applyFill="1" applyBorder="1" applyAlignment="1"/>
    <xf numFmtId="0" fontId="74" fillId="0" borderId="9" xfId="1" applyFont="1" applyFill="1" applyBorder="1" applyAlignment="1">
      <alignment horizontal="left" vertical="top"/>
    </xf>
    <xf numFmtId="0" fontId="74" fillId="0" borderId="25" xfId="1" applyFont="1" applyFill="1" applyBorder="1" applyAlignment="1">
      <alignment horizontal="left" vertical="top"/>
    </xf>
    <xf numFmtId="0" fontId="74" fillId="0" borderId="9" xfId="1" applyFont="1" applyFill="1" applyBorder="1" applyAlignment="1">
      <alignment horizontal="center" vertical="top"/>
    </xf>
    <xf numFmtId="0" fontId="53" fillId="0" borderId="3" xfId="0" applyFont="1" applyBorder="1" applyAlignment="1">
      <alignment horizontal="justify"/>
    </xf>
    <xf numFmtId="0" fontId="8" fillId="0" borderId="3" xfId="0" applyFont="1" applyFill="1" applyBorder="1" applyAlignment="1">
      <alignment horizontal="left" vertical="center" wrapText="1"/>
    </xf>
    <xf numFmtId="0" fontId="0" fillId="0" borderId="3" xfId="0" applyBorder="1" applyAlignment="1"/>
    <xf numFmtId="0" fontId="0" fillId="0" borderId="4" xfId="0" applyBorder="1" applyAlignment="1"/>
    <xf numFmtId="0" fontId="7" fillId="0" borderId="2" xfId="5" applyFont="1" applyBorder="1" applyAlignment="1">
      <alignment horizontal="justify" vertical="top" wrapText="1"/>
    </xf>
    <xf numFmtId="0" fontId="0" fillId="0" borderId="18" xfId="0" applyBorder="1" applyAlignment="1"/>
    <xf numFmtId="1" fontId="74" fillId="0" borderId="31" xfId="9" applyNumberFormat="1" applyFont="1" applyFill="1" applyBorder="1" applyAlignment="1">
      <alignment horizontal="left"/>
    </xf>
    <xf numFmtId="1" fontId="74" fillId="0" borderId="35" xfId="9" applyNumberFormat="1" applyFont="1" applyFill="1" applyBorder="1" applyAlignment="1">
      <alignment horizontal="left"/>
    </xf>
    <xf numFmtId="0" fontId="74" fillId="0" borderId="31" xfId="9" applyFont="1" applyFill="1" applyBorder="1" applyAlignment="1">
      <alignment horizontal="left"/>
    </xf>
    <xf numFmtId="0" fontId="73" fillId="0" borderId="3" xfId="1" applyFont="1" applyBorder="1" applyAlignment="1">
      <alignment horizontal="center" vertical="top"/>
    </xf>
    <xf numFmtId="2" fontId="59" fillId="0" borderId="3" xfId="0" applyNumberFormat="1" applyFont="1" applyFill="1" applyBorder="1" applyAlignment="1">
      <alignment horizontal="center" wrapText="1"/>
    </xf>
    <xf numFmtId="0" fontId="55" fillId="0" borderId="0" xfId="0" applyFont="1" applyFill="1" applyAlignment="1">
      <alignment vertical="top" wrapText="1"/>
    </xf>
    <xf numFmtId="17" fontId="73" fillId="0" borderId="31" xfId="9" applyNumberFormat="1" applyFont="1" applyFill="1" applyBorder="1" applyAlignment="1">
      <alignment horizontal="center"/>
    </xf>
    <xf numFmtId="4" fontId="74" fillId="0" borderId="28" xfId="9" applyNumberFormat="1" applyFont="1" applyFill="1" applyBorder="1" applyAlignment="1">
      <alignment horizontal="left"/>
    </xf>
    <xf numFmtId="4" fontId="74" fillId="0" borderId="37" xfId="9" applyNumberFormat="1" applyFont="1" applyFill="1" applyBorder="1" applyAlignment="1">
      <alignment horizontal="left"/>
    </xf>
    <xf numFmtId="4" fontId="74" fillId="0" borderId="23" xfId="9" applyNumberFormat="1" applyFont="1" applyFill="1" applyBorder="1" applyAlignment="1">
      <alignment horizontal="left"/>
    </xf>
    <xf numFmtId="4" fontId="74" fillId="0" borderId="26" xfId="9" applyNumberFormat="1" applyFont="1" applyFill="1" applyBorder="1" applyAlignment="1">
      <alignment horizontal="left"/>
    </xf>
    <xf numFmtId="0" fontId="5" fillId="10" borderId="0" xfId="1" applyFont="1" applyFill="1" applyBorder="1" applyAlignment="1">
      <alignment horizontal="right"/>
    </xf>
    <xf numFmtId="17" fontId="59" fillId="0" borderId="3" xfId="0" applyNumberFormat="1" applyFont="1" applyBorder="1" applyAlignment="1">
      <alignment horizontal="center" vertical="center"/>
    </xf>
    <xf numFmtId="49" fontId="6" fillId="0" borderId="40" xfId="0" applyNumberFormat="1" applyFont="1" applyFill="1" applyBorder="1" applyAlignment="1">
      <alignment horizontal="center" vertical="center" wrapText="1"/>
    </xf>
    <xf numFmtId="0" fontId="59" fillId="0" borderId="3"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3" xfId="0" applyFont="1" applyFill="1" applyBorder="1" applyAlignment="1">
      <alignment horizontal="center" vertical="center" wrapText="1"/>
    </xf>
    <xf numFmtId="4" fontId="59" fillId="0" borderId="3" xfId="0" applyNumberFormat="1" applyFont="1" applyBorder="1" applyAlignment="1">
      <alignment horizontal="center" vertical="center" wrapText="1"/>
    </xf>
    <xf numFmtId="0" fontId="53" fillId="0" borderId="3" xfId="0" applyFont="1" applyBorder="1" applyAlignment="1">
      <alignment horizontal="left" wrapText="1"/>
    </xf>
    <xf numFmtId="0" fontId="55" fillId="0" borderId="3" xfId="0" applyFont="1" applyBorder="1" applyAlignment="1">
      <alignment horizontal="center" vertical="center"/>
    </xf>
    <xf numFmtId="17" fontId="5" fillId="10" borderId="0" xfId="1" applyNumberFormat="1" applyFont="1" applyFill="1" applyBorder="1" applyAlignment="1">
      <alignment horizontal="center" vertical="center"/>
    </xf>
    <xf numFmtId="0" fontId="74" fillId="10" borderId="0" xfId="1" applyFont="1" applyFill="1" applyBorder="1" applyAlignment="1">
      <alignment horizontal="left" vertical="top" wrapText="1"/>
    </xf>
    <xf numFmtId="49" fontId="5" fillId="10" borderId="0" xfId="1" applyNumberFormat="1" applyFont="1" applyFill="1" applyBorder="1" applyAlignment="1">
      <alignment horizontal="center" vertical="center"/>
    </xf>
    <xf numFmtId="0" fontId="66" fillId="0" borderId="0" xfId="5" applyFont="1" applyAlignment="1" applyProtection="1">
      <alignment vertical="top"/>
    </xf>
    <xf numFmtId="0" fontId="108" fillId="0" borderId="0" xfId="5" applyFont="1" applyAlignment="1" applyProtection="1">
      <alignment horizontal="left" vertical="top" wrapText="1"/>
    </xf>
    <xf numFmtId="0" fontId="109" fillId="0" borderId="0" xfId="5" applyFont="1" applyAlignment="1" applyProtection="1">
      <alignment horizontal="justify" vertical="top" wrapText="1"/>
    </xf>
    <xf numFmtId="0" fontId="109" fillId="0" borderId="0" xfId="5" applyFont="1" applyProtection="1"/>
    <xf numFmtId="0" fontId="109" fillId="0" borderId="0" xfId="5" applyFont="1" applyAlignment="1" applyProtection="1">
      <alignment horizontal="right"/>
    </xf>
    <xf numFmtId="2" fontId="109" fillId="0" borderId="0" xfId="5" applyNumberFormat="1" applyFont="1" applyAlignment="1" applyProtection="1">
      <alignment horizontal="right"/>
    </xf>
    <xf numFmtId="4" fontId="109" fillId="0" borderId="0" xfId="5" applyNumberFormat="1" applyFont="1" applyAlignment="1" applyProtection="1">
      <alignment horizontal="right"/>
    </xf>
    <xf numFmtId="0" fontId="66" fillId="0" borderId="0" xfId="5" applyFont="1" applyAlignment="1" applyProtection="1">
      <alignment horizontal="justify" vertical="top" wrapText="1"/>
    </xf>
    <xf numFmtId="0" fontId="66" fillId="0" borderId="0" xfId="5" applyFont="1" applyProtection="1"/>
    <xf numFmtId="0" fontId="80" fillId="0" borderId="0" xfId="5" applyFont="1" applyAlignment="1" applyProtection="1">
      <alignment horizontal="right"/>
    </xf>
    <xf numFmtId="2" fontId="66" fillId="0" borderId="0" xfId="5" applyNumberFormat="1" applyFont="1" applyAlignment="1" applyProtection="1">
      <alignment horizontal="right"/>
    </xf>
    <xf numFmtId="4" fontId="66" fillId="0" borderId="0" xfId="5" applyNumberFormat="1" applyFont="1" applyAlignment="1" applyProtection="1">
      <alignment horizontal="right"/>
    </xf>
    <xf numFmtId="0" fontId="66" fillId="0" borderId="0" xfId="5" applyFont="1" applyAlignment="1" applyProtection="1">
      <alignment horizontal="left" vertical="top" wrapText="1"/>
    </xf>
    <xf numFmtId="0" fontId="5" fillId="10" borderId="0" xfId="1" applyFont="1" applyFill="1" applyAlignment="1" applyProtection="1">
      <alignment horizontal="center" vertical="top"/>
    </xf>
    <xf numFmtId="0" fontId="8" fillId="10" borderId="0" xfId="1" applyFont="1" applyFill="1" applyAlignment="1" applyProtection="1">
      <alignment horizontal="left"/>
    </xf>
    <xf numFmtId="0" fontId="5" fillId="10" borderId="0" xfId="1" applyFont="1" applyFill="1" applyAlignment="1" applyProtection="1">
      <alignment horizontal="center"/>
    </xf>
    <xf numFmtId="4" fontId="5" fillId="10" borderId="0" xfId="1" applyNumberFormat="1" applyFont="1" applyFill="1" applyAlignment="1" applyProtection="1">
      <alignment horizontal="center"/>
    </xf>
    <xf numFmtId="4" fontId="5" fillId="10" borderId="0" xfId="1" applyNumberFormat="1" applyFont="1" applyFill="1" applyAlignment="1" applyProtection="1">
      <alignment horizontal="right"/>
    </xf>
    <xf numFmtId="4" fontId="7" fillId="10" borderId="0" xfId="1" applyNumberFormat="1" applyFont="1" applyFill="1" applyAlignment="1" applyProtection="1">
      <alignment horizontal="right"/>
    </xf>
    <xf numFmtId="0" fontId="50" fillId="0" borderId="1" xfId="1" applyFont="1" applyBorder="1" applyAlignment="1" applyProtection="1">
      <alignment horizontal="center" vertical="center" wrapText="1"/>
    </xf>
    <xf numFmtId="0" fontId="50" fillId="0" borderId="1" xfId="1" applyFont="1" applyFill="1" applyBorder="1" applyAlignment="1" applyProtection="1">
      <alignment horizontal="center" vertical="center"/>
    </xf>
    <xf numFmtId="0" fontId="50" fillId="0" borderId="1" xfId="1" applyFont="1" applyFill="1" applyBorder="1" applyAlignment="1" applyProtection="1">
      <alignment horizontal="center" vertical="center" wrapText="1"/>
    </xf>
    <xf numFmtId="4" fontId="50" fillId="0" borderId="1" xfId="1" applyNumberFormat="1" applyFont="1" applyFill="1" applyBorder="1" applyAlignment="1" applyProtection="1">
      <alignment horizontal="center" vertical="center" wrapText="1"/>
    </xf>
    <xf numFmtId="164" fontId="73" fillId="0" borderId="0" xfId="4" applyFont="1" applyFill="1" applyBorder="1" applyAlignment="1" applyProtection="1">
      <alignment horizontal="center" vertical="center"/>
    </xf>
    <xf numFmtId="164" fontId="73" fillId="0" borderId="0" xfId="4" applyFont="1" applyFill="1" applyBorder="1" applyAlignment="1" applyProtection="1">
      <alignment horizontal="left" vertical="center"/>
    </xf>
    <xf numFmtId="0" fontId="74" fillId="0" borderId="2" xfId="0" applyFont="1" applyFill="1" applyBorder="1" applyAlignment="1" applyProtection="1">
      <alignment horizontal="center" vertical="top"/>
    </xf>
    <xf numFmtId="0" fontId="8" fillId="0" borderId="3" xfId="0" applyFont="1" applyFill="1" applyBorder="1" applyAlignment="1" applyProtection="1">
      <alignment horizontal="left" wrapText="1"/>
    </xf>
    <xf numFmtId="0" fontId="59" fillId="0" borderId="3" xfId="0" applyFont="1" applyFill="1" applyBorder="1" applyAlignment="1" applyProtection="1">
      <alignment horizontal="center" vertical="center" wrapText="1"/>
    </xf>
    <xf numFmtId="0" fontId="7" fillId="0" borderId="3" xfId="0" applyFont="1" applyFill="1" applyBorder="1" applyAlignment="1" applyProtection="1">
      <alignment horizontal="center" vertical="top"/>
    </xf>
    <xf numFmtId="0" fontId="73" fillId="0" borderId="0" xfId="3" applyFont="1" applyFill="1" applyBorder="1" applyAlignment="1" applyProtection="1">
      <alignment horizontal="justify" vertical="center" wrapText="1"/>
    </xf>
    <xf numFmtId="4" fontId="6" fillId="0" borderId="0" xfId="0" applyNumberFormat="1" applyFont="1" applyFill="1" applyBorder="1" applyAlignment="1" applyProtection="1">
      <alignment horizontal="right"/>
    </xf>
    <xf numFmtId="0" fontId="73" fillId="0" borderId="0" xfId="3" applyFont="1" applyFill="1" applyBorder="1" applyAlignment="1" applyProtection="1">
      <alignment horizontal="left" vertical="center" wrapText="1"/>
    </xf>
    <xf numFmtId="49" fontId="73" fillId="0" borderId="0" xfId="3" applyNumberFormat="1" applyFont="1" applyFill="1" applyBorder="1" applyAlignment="1" applyProtection="1">
      <alignment horizontal="center" vertical="center" wrapText="1"/>
    </xf>
    <xf numFmtId="4" fontId="5" fillId="0" borderId="0" xfId="1" applyNumberFormat="1" applyFont="1" applyFill="1" applyBorder="1" applyAlignment="1" applyProtection="1">
      <alignment horizontal="center"/>
    </xf>
    <xf numFmtId="4" fontId="73" fillId="0" borderId="0" xfId="3" applyNumberFormat="1" applyFont="1" applyFill="1" applyBorder="1" applyAlignment="1" applyProtection="1">
      <alignment horizontal="center"/>
    </xf>
    <xf numFmtId="164" fontId="73" fillId="9" borderId="0" xfId="4" applyNumberFormat="1" applyFont="1" applyFill="1" applyBorder="1" applyAlignment="1" applyProtection="1">
      <alignment horizontal="right"/>
    </xf>
    <xf numFmtId="0" fontId="7" fillId="2" borderId="9" xfId="1" applyFont="1" applyFill="1" applyBorder="1" applyAlignment="1" applyProtection="1">
      <alignment horizontal="center" vertical="top"/>
    </xf>
    <xf numFmtId="0" fontId="7" fillId="2" borderId="9" xfId="1" applyFont="1" applyFill="1" applyBorder="1" applyAlignment="1" applyProtection="1">
      <alignment horizontal="left" vertical="top"/>
    </xf>
    <xf numFmtId="4" fontId="5" fillId="2" borderId="9" xfId="1" applyNumberFormat="1" applyFont="1" applyFill="1" applyBorder="1" applyAlignment="1" applyProtection="1">
      <alignment horizontal="center"/>
    </xf>
    <xf numFmtId="4" fontId="5" fillId="2" borderId="9" xfId="1" applyNumberFormat="1" applyFont="1" applyFill="1" applyBorder="1" applyAlignment="1" applyProtection="1">
      <alignment horizontal="right"/>
    </xf>
    <xf numFmtId="4" fontId="7" fillId="2" borderId="8" xfId="1" applyNumberFormat="1" applyFont="1" applyFill="1" applyBorder="1" applyAlignment="1" applyProtection="1">
      <alignment horizontal="right"/>
    </xf>
    <xf numFmtId="0" fontId="8" fillId="0" borderId="3" xfId="0" applyFont="1" applyFill="1" applyBorder="1" applyAlignment="1" applyProtection="1">
      <alignment horizontal="justify" wrapText="1"/>
    </xf>
    <xf numFmtId="0" fontId="0" fillId="0" borderId="3" xfId="0" applyBorder="1" applyAlignment="1" applyProtection="1"/>
    <xf numFmtId="0" fontId="0" fillId="0" borderId="4" xfId="0" applyBorder="1" applyAlignment="1" applyProtection="1"/>
    <xf numFmtId="164" fontId="73" fillId="0" borderId="0" xfId="4" applyFont="1" applyFill="1" applyBorder="1" applyAlignment="1" applyProtection="1">
      <alignment horizontal="center" vertical="top"/>
    </xf>
    <xf numFmtId="164" fontId="74" fillId="0" borderId="0" xfId="4" applyFont="1" applyFill="1" applyBorder="1" applyAlignment="1" applyProtection="1">
      <alignment horizontal="center" vertical="top"/>
    </xf>
    <xf numFmtId="0" fontId="74" fillId="0" borderId="0" xfId="3" applyFont="1" applyFill="1" applyBorder="1" applyAlignment="1" applyProtection="1">
      <alignment horizontal="left" vertical="center" wrapText="1"/>
    </xf>
    <xf numFmtId="0" fontId="66" fillId="0" borderId="0" xfId="5" applyFont="1" applyBorder="1" applyAlignment="1" applyProtection="1">
      <alignment horizontal="center" vertical="top" wrapText="1"/>
    </xf>
    <xf numFmtId="0" fontId="81" fillId="0" borderId="0" xfId="5" applyFont="1" applyBorder="1" applyAlignment="1" applyProtection="1">
      <alignment horizontal="left" vertical="top" wrapText="1"/>
    </xf>
    <xf numFmtId="0" fontId="81" fillId="0" borderId="0" xfId="5" applyFont="1" applyBorder="1" applyAlignment="1" applyProtection="1">
      <alignment horizontal="justify" vertical="top" wrapText="1"/>
    </xf>
    <xf numFmtId="0" fontId="66" fillId="0" borderId="0" xfId="5" applyFont="1" applyBorder="1" applyAlignment="1" applyProtection="1">
      <alignment horizontal="center"/>
    </xf>
    <xf numFmtId="0" fontId="80" fillId="0" borderId="0" xfId="5" applyFont="1" applyBorder="1" applyAlignment="1" applyProtection="1">
      <alignment horizontal="right"/>
    </xf>
    <xf numFmtId="2" fontId="66" fillId="0" borderId="0" xfId="5" applyNumberFormat="1" applyFont="1" applyBorder="1" applyAlignment="1" applyProtection="1">
      <alignment horizontal="right"/>
    </xf>
    <xf numFmtId="4" fontId="81" fillId="0" borderId="0" xfId="5" applyNumberFormat="1" applyFont="1" applyBorder="1" applyAlignment="1" applyProtection="1">
      <alignment horizontal="right"/>
    </xf>
    <xf numFmtId="0" fontId="66" fillId="0" borderId="0" xfId="5" applyFont="1" applyBorder="1" applyAlignment="1" applyProtection="1">
      <alignment vertical="top" wrapText="1"/>
    </xf>
    <xf numFmtId="0" fontId="81" fillId="0" borderId="0" xfId="5" applyFont="1" applyAlignment="1" applyProtection="1">
      <alignment horizontal="left" vertical="top" wrapText="1"/>
    </xf>
    <xf numFmtId="0" fontId="81" fillId="0" borderId="0" xfId="5" applyFont="1" applyAlignment="1" applyProtection="1">
      <alignment horizontal="justify" vertical="top" wrapText="1"/>
    </xf>
    <xf numFmtId="0" fontId="66" fillId="0" borderId="0" xfId="5" applyFont="1" applyAlignment="1" applyProtection="1">
      <alignment horizontal="center"/>
    </xf>
    <xf numFmtId="4" fontId="66" fillId="0" borderId="0" xfId="5" applyNumberFormat="1" applyFont="1" applyBorder="1" applyAlignment="1" applyProtection="1">
      <alignment horizontal="right"/>
    </xf>
    <xf numFmtId="0" fontId="5" fillId="3" borderId="2" xfId="0" applyFont="1" applyFill="1" applyBorder="1" applyAlignment="1" applyProtection="1">
      <alignment horizontal="center" vertical="top"/>
    </xf>
    <xf numFmtId="4" fontId="5" fillId="3" borderId="4" xfId="0" applyNumberFormat="1" applyFont="1" applyFill="1" applyBorder="1" applyAlignment="1" applyProtection="1"/>
    <xf numFmtId="0" fontId="6" fillId="0" borderId="0" xfId="0" applyFont="1" applyAlignment="1" applyProtection="1">
      <alignment horizontal="center" vertical="top"/>
    </xf>
    <xf numFmtId="0" fontId="15" fillId="0" borderId="0" xfId="0" applyFont="1" applyFill="1" applyBorder="1" applyAlignment="1" applyProtection="1">
      <alignment horizontal="left" wrapText="1"/>
    </xf>
    <xf numFmtId="0" fontId="15" fillId="0" borderId="0" xfId="0" applyFont="1" applyFill="1" applyBorder="1" applyAlignment="1" applyProtection="1">
      <alignment horizontal="justify" wrapText="1"/>
    </xf>
    <xf numFmtId="0" fontId="15" fillId="0" borderId="0" xfId="0" applyFont="1" applyAlignment="1" applyProtection="1">
      <alignment horizontal="center"/>
    </xf>
    <xf numFmtId="4" fontId="33" fillId="0" borderId="0" xfId="0" applyNumberFormat="1" applyFont="1" applyFill="1" applyBorder="1" applyAlignment="1" applyProtection="1">
      <alignment horizontal="center"/>
    </xf>
    <xf numFmtId="4" fontId="15" fillId="0" borderId="0" xfId="0" applyNumberFormat="1" applyFont="1" applyFill="1" applyBorder="1" applyAlignment="1" applyProtection="1">
      <alignment horizontal="right"/>
    </xf>
    <xf numFmtId="0" fontId="15" fillId="0" borderId="0" xfId="0" applyFont="1" applyFill="1" applyBorder="1" applyAlignment="1" applyProtection="1">
      <alignment horizontal="left"/>
    </xf>
    <xf numFmtId="4" fontId="15" fillId="0" borderId="0" xfId="0" applyNumberFormat="1" applyFont="1" applyAlignment="1" applyProtection="1">
      <alignment horizontal="center" wrapText="1"/>
    </xf>
    <xf numFmtId="4" fontId="15" fillId="0" borderId="0" xfId="0" applyNumberFormat="1" applyFont="1" applyAlignment="1" applyProtection="1">
      <alignment horizontal="right"/>
    </xf>
    <xf numFmtId="0" fontId="74" fillId="2" borderId="2" xfId="0" applyFont="1" applyFill="1" applyBorder="1" applyAlignment="1" applyProtection="1">
      <alignment horizontal="center" vertical="top"/>
    </xf>
    <xf numFmtId="0" fontId="7" fillId="2" borderId="3" xfId="0" applyFont="1" applyFill="1" applyBorder="1" applyAlignment="1" applyProtection="1">
      <alignment horizontal="left"/>
    </xf>
    <xf numFmtId="0" fontId="5" fillId="2" borderId="3" xfId="0" applyFont="1" applyFill="1" applyBorder="1" applyAlignment="1" applyProtection="1">
      <alignment horizontal="center"/>
    </xf>
    <xf numFmtId="4" fontId="5" fillId="2" borderId="3" xfId="0" applyNumberFormat="1" applyFont="1" applyFill="1" applyBorder="1" applyAlignment="1" applyProtection="1">
      <alignment horizontal="center"/>
    </xf>
    <xf numFmtId="4" fontId="5" fillId="2" borderId="3" xfId="0" applyNumberFormat="1" applyFont="1" applyFill="1" applyBorder="1" applyAlignment="1" applyProtection="1"/>
    <xf numFmtId="4" fontId="7" fillId="2" borderId="4" xfId="0" applyNumberFormat="1" applyFont="1" applyFill="1" applyBorder="1" applyAlignment="1" applyProtection="1"/>
    <xf numFmtId="0" fontId="82" fillId="10" borderId="0" xfId="1" applyFont="1" applyFill="1" applyAlignment="1" applyProtection="1">
      <alignment horizontal="left"/>
    </xf>
    <xf numFmtId="0" fontId="66" fillId="0" borderId="0" xfId="0" applyFont="1" applyAlignment="1" applyProtection="1">
      <alignment horizontal="center" vertical="top"/>
    </xf>
    <xf numFmtId="0" fontId="66" fillId="0" borderId="0" xfId="0" applyFont="1" applyAlignment="1" applyProtection="1">
      <alignment horizontal="left" vertical="top" wrapText="1"/>
    </xf>
    <xf numFmtId="0" fontId="66" fillId="0" borderId="0" xfId="0" applyFont="1" applyAlignment="1" applyProtection="1">
      <alignment horizontal="justify" vertical="top" wrapText="1"/>
    </xf>
    <xf numFmtId="0" fontId="66" fillId="0" borderId="0" xfId="0" applyFont="1" applyAlignment="1" applyProtection="1">
      <alignment horizontal="center"/>
    </xf>
    <xf numFmtId="0" fontId="66" fillId="0" borderId="0" xfId="0" applyFont="1" applyAlignment="1" applyProtection="1"/>
    <xf numFmtId="4" fontId="66" fillId="0" borderId="0" xfId="0" applyNumberFormat="1" applyFont="1" applyAlignment="1" applyProtection="1">
      <alignment horizontal="right"/>
    </xf>
    <xf numFmtId="0" fontId="74" fillId="0" borderId="2" xfId="0" applyFont="1" applyFill="1" applyBorder="1" applyAlignment="1" applyProtection="1">
      <alignment horizontal="center" vertical="center"/>
    </xf>
    <xf numFmtId="49" fontId="66" fillId="0" borderId="12" xfId="0" applyNumberFormat="1" applyFont="1" applyBorder="1" applyAlignment="1" applyProtection="1">
      <alignment horizontal="center"/>
    </xf>
    <xf numFmtId="0" fontId="66" fillId="0" borderId="12" xfId="0" applyFont="1" applyBorder="1" applyAlignment="1" applyProtection="1">
      <alignment horizontal="left" vertical="top" wrapText="1"/>
    </xf>
    <xf numFmtId="0" fontId="66" fillId="0" borderId="12" xfId="0" applyFont="1" applyBorder="1" applyAlignment="1" applyProtection="1">
      <alignment horizontal="center"/>
    </xf>
    <xf numFmtId="4" fontId="66" fillId="0" borderId="12" xfId="0" applyNumberFormat="1" applyFont="1" applyBorder="1" applyProtection="1"/>
    <xf numFmtId="49" fontId="66" fillId="0" borderId="0" xfId="0" applyNumberFormat="1" applyFont="1" applyAlignment="1" applyProtection="1">
      <alignment horizontal="center"/>
    </xf>
    <xf numFmtId="4" fontId="66" fillId="0" borderId="0" xfId="0" applyNumberFormat="1" applyFont="1" applyProtection="1"/>
    <xf numFmtId="49" fontId="81" fillId="0" borderId="0" xfId="0" applyNumberFormat="1" applyFont="1" applyAlignment="1" applyProtection="1">
      <alignment horizontal="center"/>
    </xf>
    <xf numFmtId="0" fontId="81" fillId="0" borderId="0" xfId="0" applyFont="1" applyAlignment="1" applyProtection="1">
      <alignment horizontal="left" vertical="top"/>
    </xf>
    <xf numFmtId="0" fontId="81" fillId="0" borderId="0" xfId="0" applyFont="1" applyAlignment="1" applyProtection="1">
      <alignment horizontal="center" vertical="top"/>
    </xf>
    <xf numFmtId="0" fontId="81" fillId="2" borderId="3" xfId="0" applyFont="1" applyFill="1" applyBorder="1" applyAlignment="1" applyProtection="1">
      <alignment horizontal="center"/>
    </xf>
    <xf numFmtId="0" fontId="5" fillId="0" borderId="0" xfId="0" applyFont="1" applyBorder="1" applyAlignment="1" applyProtection="1">
      <alignment horizontal="center" vertical="center" wrapText="1"/>
    </xf>
    <xf numFmtId="0" fontId="5" fillId="0" borderId="0" xfId="0" applyFont="1" applyBorder="1" applyAlignment="1" applyProtection="1">
      <alignment horizontal="left" wrapText="1"/>
    </xf>
    <xf numFmtId="0" fontId="5" fillId="0" borderId="0" xfId="0" applyFont="1" applyBorder="1" applyAlignment="1" applyProtection="1">
      <alignment horizontal="center" wrapText="1"/>
    </xf>
    <xf numFmtId="2" fontId="5" fillId="0" borderId="0" xfId="0" applyNumberFormat="1" applyFont="1" applyBorder="1" applyAlignment="1" applyProtection="1">
      <alignment horizontal="center" vertical="center" wrapText="1"/>
    </xf>
    <xf numFmtId="4" fontId="5" fillId="0" borderId="0" xfId="0" applyNumberFormat="1" applyFont="1" applyBorder="1" applyAlignment="1" applyProtection="1">
      <alignment horizontal="center" vertical="center" wrapText="1"/>
    </xf>
    <xf numFmtId="0" fontId="74" fillId="0" borderId="0" xfId="0" applyFont="1" applyFill="1" applyBorder="1" applyAlignment="1" applyProtection="1">
      <alignment horizontal="center" vertical="top"/>
    </xf>
    <xf numFmtId="0" fontId="82" fillId="0" borderId="0" xfId="0" applyFont="1" applyFill="1" applyBorder="1" applyAlignment="1" applyProtection="1">
      <alignment horizontal="left" wrapText="1"/>
    </xf>
    <xf numFmtId="0" fontId="82" fillId="0" borderId="0" xfId="0" applyFont="1" applyFill="1" applyBorder="1" applyAlignment="1" applyProtection="1">
      <alignment horizontal="justify" wrapText="1"/>
    </xf>
    <xf numFmtId="0" fontId="79" fillId="0" borderId="0" xfId="5" applyProtection="1"/>
    <xf numFmtId="0" fontId="7" fillId="2" borderId="4" xfId="1" applyFont="1" applyFill="1" applyBorder="1" applyAlignment="1" applyProtection="1">
      <alignment horizontal="center" vertical="top"/>
    </xf>
    <xf numFmtId="4" fontId="7" fillId="2" borderId="1" xfId="1" applyNumberFormat="1" applyFont="1" applyFill="1" applyBorder="1" applyAlignment="1" applyProtection="1">
      <alignment horizontal="right"/>
    </xf>
    <xf numFmtId="0" fontId="7" fillId="0" borderId="0" xfId="0" applyFont="1" applyBorder="1" applyAlignment="1" applyProtection="1">
      <alignment horizontal="left" wrapText="1"/>
    </xf>
    <xf numFmtId="0" fontId="7" fillId="0" borderId="0" xfId="0" applyFont="1" applyBorder="1" applyAlignment="1" applyProtection="1">
      <alignment horizontal="justify" wrapText="1"/>
    </xf>
    <xf numFmtId="0" fontId="7" fillId="0" borderId="0" xfId="0" applyFont="1" applyFill="1" applyBorder="1" applyAlignment="1" applyProtection="1">
      <alignment horizontal="left"/>
    </xf>
    <xf numFmtId="0" fontId="73" fillId="0" borderId="0" xfId="0" applyFont="1" applyFill="1" applyBorder="1" applyAlignment="1" applyProtection="1">
      <alignment horizontal="left" wrapText="1"/>
    </xf>
    <xf numFmtId="0" fontId="73" fillId="0" borderId="0" xfId="0" applyFont="1" applyFill="1" applyBorder="1" applyAlignment="1" applyProtection="1">
      <alignment horizontal="justify" wrapText="1"/>
    </xf>
    <xf numFmtId="0" fontId="73" fillId="0" borderId="0" xfId="0" applyFont="1" applyFill="1" applyBorder="1" applyAlignment="1" applyProtection="1">
      <alignment horizontal="left"/>
    </xf>
    <xf numFmtId="0" fontId="74" fillId="2" borderId="3" xfId="0" applyFont="1" applyFill="1" applyBorder="1" applyAlignment="1" applyProtection="1">
      <alignment horizontal="left"/>
    </xf>
    <xf numFmtId="0" fontId="74" fillId="2" borderId="3" xfId="0" applyFont="1" applyFill="1" applyBorder="1" applyAlignment="1" applyProtection="1">
      <alignment horizontal="center"/>
    </xf>
    <xf numFmtId="4" fontId="74" fillId="2" borderId="3" xfId="0" applyNumberFormat="1" applyFont="1" applyFill="1" applyBorder="1" applyAlignment="1" applyProtection="1">
      <alignment horizontal="center"/>
    </xf>
    <xf numFmtId="4" fontId="74" fillId="2" borderId="3" xfId="0" applyNumberFormat="1" applyFont="1" applyFill="1" applyBorder="1" applyAlignment="1" applyProtection="1"/>
    <xf numFmtId="4" fontId="74" fillId="2" borderId="4" xfId="0" applyNumberFormat="1" applyFont="1" applyFill="1" applyBorder="1" applyAlignment="1" applyProtection="1"/>
    <xf numFmtId="49" fontId="51" fillId="0" borderId="0" xfId="0" applyNumberFormat="1" applyFont="1" applyAlignment="1" applyProtection="1">
      <alignment horizontal="center" vertical="top"/>
    </xf>
    <xf numFmtId="0" fontId="51" fillId="0" borderId="0" xfId="0" applyFont="1" applyAlignment="1" applyProtection="1">
      <alignment horizontal="left" vertical="top" wrapText="1"/>
    </xf>
    <xf numFmtId="0" fontId="51" fillId="0" borderId="0" xfId="0" applyFont="1" applyAlignment="1" applyProtection="1">
      <alignment horizontal="justify" vertical="top" wrapText="1"/>
    </xf>
    <xf numFmtId="0" fontId="0" fillId="0" borderId="0" xfId="0" applyAlignment="1" applyProtection="1">
      <alignment horizontal="center"/>
    </xf>
    <xf numFmtId="2" fontId="0" fillId="0" borderId="0" xfId="0" applyNumberFormat="1" applyAlignment="1" applyProtection="1">
      <alignment horizontal="right"/>
    </xf>
    <xf numFmtId="0" fontId="111" fillId="13" borderId="0" xfId="1" applyFont="1" applyFill="1" applyAlignment="1" applyProtection="1">
      <alignment horizontal="center" vertical="top"/>
    </xf>
    <xf numFmtId="9" fontId="74" fillId="11" borderId="34" xfId="12" applyFont="1" applyFill="1" applyBorder="1" applyAlignment="1" applyProtection="1">
      <alignment horizontal="center" vertical="top"/>
      <protection locked="0"/>
    </xf>
    <xf numFmtId="0" fontId="0" fillId="0" borderId="3" xfId="0" applyBorder="1" applyAlignment="1"/>
    <xf numFmtId="0" fontId="0" fillId="0" borderId="3" xfId="0" applyBorder="1" applyAlignment="1" applyProtection="1"/>
    <xf numFmtId="0" fontId="0" fillId="0" borderId="4" xfId="0" applyBorder="1" applyAlignment="1" applyProtection="1"/>
    <xf numFmtId="49" fontId="15" fillId="0" borderId="0" xfId="1" applyNumberFormat="1" applyFont="1" applyFill="1" applyBorder="1" applyAlignment="1">
      <alignment horizontal="center" vertical="top"/>
    </xf>
    <xf numFmtId="0" fontId="15" fillId="0" borderId="0" xfId="1" applyFont="1" applyFill="1" applyAlignment="1">
      <alignment horizontal="center" vertical="top"/>
    </xf>
    <xf numFmtId="0" fontId="73" fillId="0" borderId="0" xfId="3" applyFont="1" applyFill="1" applyBorder="1" applyAlignment="1" applyProtection="1">
      <alignment vertical="center" wrapText="1"/>
    </xf>
    <xf numFmtId="49" fontId="73" fillId="0" borderId="0" xfId="3" applyNumberFormat="1" applyFont="1" applyFill="1" applyBorder="1" applyAlignment="1" applyProtection="1">
      <alignment horizontal="center" vertical="center"/>
    </xf>
    <xf numFmtId="0" fontId="73" fillId="0" borderId="0" xfId="3" applyFont="1" applyFill="1" applyBorder="1" applyAlignment="1" applyProtection="1">
      <alignment horizontal="justify" vertical="center"/>
    </xf>
    <xf numFmtId="0" fontId="73" fillId="0" borderId="0" xfId="3" applyFont="1" applyFill="1" applyBorder="1" applyAlignment="1" applyProtection="1">
      <alignment vertical="top" wrapText="1"/>
    </xf>
    <xf numFmtId="0" fontId="6" fillId="0" borderId="0" xfId="0" applyFont="1" applyFill="1" applyBorder="1" applyAlignment="1" applyProtection="1">
      <alignment horizontal="center" vertical="center" wrapText="1"/>
    </xf>
    <xf numFmtId="0" fontId="6" fillId="0" borderId="0" xfId="0" applyFont="1" applyFill="1" applyBorder="1" applyAlignment="1" applyProtection="1">
      <alignment vertical="center" wrapText="1"/>
    </xf>
    <xf numFmtId="0" fontId="6" fillId="0" borderId="0" xfId="0" applyFont="1" applyFill="1" applyBorder="1" applyAlignment="1" applyProtection="1">
      <alignment horizontal="center" wrapText="1"/>
    </xf>
    <xf numFmtId="4" fontId="5" fillId="0" borderId="0" xfId="0" applyNumberFormat="1" applyFont="1" applyFill="1" applyAlignment="1" applyProtection="1">
      <alignment horizontal="center" wrapText="1"/>
    </xf>
    <xf numFmtId="0" fontId="7" fillId="2" borderId="9" xfId="1" applyFont="1" applyFill="1" applyBorder="1" applyAlignment="1" applyProtection="1">
      <alignment vertical="top"/>
    </xf>
    <xf numFmtId="0" fontId="74" fillId="0" borderId="2" xfId="0" applyFont="1" applyFill="1" applyBorder="1" applyAlignment="1" applyProtection="1">
      <alignment horizontal="center"/>
    </xf>
    <xf numFmtId="49" fontId="73" fillId="0" borderId="38" xfId="3" applyNumberFormat="1" applyFont="1" applyFill="1" applyBorder="1" applyAlignment="1" applyProtection="1">
      <alignment horizontal="center" vertical="center"/>
    </xf>
    <xf numFmtId="0" fontId="6" fillId="0" borderId="0" xfId="0" applyFont="1" applyFill="1" applyBorder="1" applyAlignment="1" applyProtection="1">
      <alignment horizontal="justify" wrapText="1"/>
    </xf>
    <xf numFmtId="0" fontId="6" fillId="0" borderId="0" xfId="0" applyFont="1" applyFill="1" applyBorder="1" applyAlignment="1" applyProtection="1">
      <alignment wrapText="1"/>
    </xf>
    <xf numFmtId="0" fontId="70" fillId="0" borderId="0" xfId="3" applyFont="1" applyProtection="1"/>
    <xf numFmtId="0" fontId="3" fillId="0" borderId="0" xfId="1" applyFont="1" applyProtection="1"/>
    <xf numFmtId="0" fontId="107" fillId="0" borderId="0" xfId="1" applyFont="1" applyAlignment="1" applyProtection="1"/>
    <xf numFmtId="0" fontId="8" fillId="0" borderId="0" xfId="1" applyFont="1" applyAlignment="1" applyProtection="1">
      <alignment horizontal="left"/>
    </xf>
    <xf numFmtId="0" fontId="5" fillId="0" borderId="0" xfId="1" applyFont="1" applyAlignment="1" applyProtection="1">
      <alignment horizontal="center"/>
    </xf>
    <xf numFmtId="4" fontId="5" fillId="0" borderId="0" xfId="1" applyNumberFormat="1" applyFont="1" applyFill="1" applyAlignment="1" applyProtection="1">
      <alignment horizontal="center"/>
    </xf>
    <xf numFmtId="4" fontId="5" fillId="0" borderId="0" xfId="1" applyNumberFormat="1" applyFont="1" applyAlignment="1" applyProtection="1">
      <alignment horizontal="right"/>
    </xf>
    <xf numFmtId="4" fontId="7" fillId="0" borderId="0" xfId="1" applyNumberFormat="1" applyFont="1" applyAlignment="1" applyProtection="1">
      <alignment horizontal="right"/>
    </xf>
    <xf numFmtId="0" fontId="3" fillId="0" borderId="0" xfId="1" applyFont="1" applyAlignment="1" applyProtection="1">
      <alignment horizontal="justify" vertical="top"/>
    </xf>
    <xf numFmtId="0" fontId="5" fillId="0" borderId="0" xfId="1" applyFont="1" applyAlignment="1" applyProtection="1">
      <alignment horizontal="center" vertical="top"/>
    </xf>
    <xf numFmtId="0" fontId="3" fillId="0" borderId="0" xfId="1" applyFont="1" applyAlignment="1" applyProtection="1"/>
    <xf numFmtId="0" fontId="7" fillId="0" borderId="0" xfId="1" applyFont="1" applyAlignment="1" applyProtection="1">
      <alignment horizontal="justify"/>
    </xf>
    <xf numFmtId="0" fontId="7" fillId="0" borderId="0" xfId="1" applyFont="1" applyAlignment="1" applyProtection="1"/>
    <xf numFmtId="49" fontId="8" fillId="10" borderId="0" xfId="1" applyNumberFormat="1" applyFont="1" applyFill="1" applyAlignment="1" applyProtection="1"/>
    <xf numFmtId="49" fontId="8" fillId="10" borderId="0" xfId="1" applyNumberFormat="1" applyFont="1" applyFill="1" applyAlignment="1" applyProtection="1">
      <alignment horizontal="left"/>
    </xf>
    <xf numFmtId="0" fontId="5" fillId="0" borderId="0" xfId="1" applyFont="1" applyAlignment="1" applyProtection="1">
      <alignment vertical="top"/>
    </xf>
    <xf numFmtId="0" fontId="78" fillId="0" borderId="0" xfId="3" applyFont="1" applyAlignment="1" applyProtection="1">
      <alignment horizontal="center"/>
    </xf>
    <xf numFmtId="0" fontId="50" fillId="0" borderId="2" xfId="1" applyFont="1" applyBorder="1" applyAlignment="1" applyProtection="1">
      <alignment horizontal="center" vertical="center" wrapText="1"/>
    </xf>
    <xf numFmtId="0" fontId="50" fillId="0" borderId="3" xfId="1" applyFont="1" applyFill="1" applyBorder="1" applyAlignment="1" applyProtection="1">
      <alignment vertical="center"/>
    </xf>
    <xf numFmtId="0" fontId="50" fillId="0" borderId="3" xfId="1" applyFont="1" applyFill="1" applyBorder="1" applyAlignment="1" applyProtection="1">
      <alignment horizontal="center" vertical="center" wrapText="1"/>
    </xf>
    <xf numFmtId="4" fontId="50" fillId="0" borderId="3" xfId="1" applyNumberFormat="1" applyFont="1" applyFill="1" applyBorder="1" applyAlignment="1" applyProtection="1">
      <alignment horizontal="center" vertical="center" wrapText="1"/>
    </xf>
    <xf numFmtId="4" fontId="50" fillId="0" borderId="4" xfId="1" applyNumberFormat="1" applyFont="1" applyFill="1" applyBorder="1" applyAlignment="1" applyProtection="1">
      <alignment horizontal="center" vertical="center" wrapText="1"/>
    </xf>
    <xf numFmtId="0" fontId="74" fillId="0" borderId="2" xfId="1" applyFont="1" applyBorder="1" applyAlignment="1" applyProtection="1">
      <alignment horizontal="center"/>
    </xf>
    <xf numFmtId="0" fontId="8" fillId="0" borderId="3" xfId="1" applyFont="1" applyBorder="1" applyAlignment="1" applyProtection="1">
      <alignment horizontal="left"/>
    </xf>
    <xf numFmtId="0" fontId="5" fillId="0" borderId="0" xfId="1" applyFont="1" applyBorder="1" applyAlignment="1" applyProtection="1">
      <alignment horizontal="center" vertical="top"/>
    </xf>
    <xf numFmtId="0" fontId="7" fillId="0" borderId="0" xfId="1" applyFont="1" applyBorder="1" applyAlignment="1" applyProtection="1"/>
    <xf numFmtId="0" fontId="7" fillId="0" borderId="0" xfId="1" applyFont="1" applyBorder="1" applyAlignment="1" applyProtection="1">
      <alignment horizontal="justify"/>
    </xf>
    <xf numFmtId="4" fontId="5" fillId="0" borderId="0" xfId="1" applyNumberFormat="1" applyFont="1" applyBorder="1" applyAlignment="1" applyProtection="1">
      <alignment horizontal="right"/>
    </xf>
    <xf numFmtId="4" fontId="7" fillId="0" borderId="0" xfId="1" applyNumberFormat="1" applyFont="1" applyBorder="1" applyAlignment="1" applyProtection="1">
      <alignment horizontal="right"/>
    </xf>
    <xf numFmtId="4" fontId="5" fillId="0" borderId="0" xfId="0" applyNumberFormat="1" applyFont="1" applyFill="1" applyAlignment="1" applyProtection="1">
      <alignment horizontal="center" vertical="center" wrapText="1"/>
    </xf>
    <xf numFmtId="4" fontId="121" fillId="0" borderId="0" xfId="1" applyNumberFormat="1" applyFont="1" applyBorder="1" applyAlignment="1" applyProtection="1">
      <alignment horizontal="right"/>
    </xf>
    <xf numFmtId="0" fontId="121" fillId="0" borderId="0" xfId="1" applyFont="1" applyBorder="1" applyAlignment="1" applyProtection="1">
      <alignment horizontal="justify"/>
    </xf>
    <xf numFmtId="0" fontId="121" fillId="0" borderId="0" xfId="1" applyFont="1" applyAlignment="1" applyProtection="1">
      <alignment horizontal="justify"/>
    </xf>
    <xf numFmtId="4" fontId="121" fillId="10" borderId="0" xfId="1" applyNumberFormat="1" applyFont="1" applyFill="1" applyBorder="1" applyAlignment="1" applyProtection="1">
      <alignment horizontal="right"/>
    </xf>
    <xf numFmtId="0" fontId="121" fillId="0" borderId="0" xfId="1" applyFont="1" applyBorder="1" applyAlignment="1" applyProtection="1">
      <alignment horizontal="center" vertical="top"/>
    </xf>
    <xf numFmtId="4" fontId="122" fillId="0" borderId="39" xfId="1" applyNumberFormat="1" applyFont="1" applyFill="1" applyBorder="1" applyAlignment="1" applyProtection="1">
      <alignment horizontal="center" vertical="center" wrapText="1"/>
    </xf>
    <xf numFmtId="4" fontId="122" fillId="0" borderId="0" xfId="1" applyNumberFormat="1" applyFont="1" applyFill="1" applyBorder="1" applyAlignment="1" applyProtection="1">
      <alignment horizontal="center" wrapText="1"/>
    </xf>
    <xf numFmtId="4" fontId="125" fillId="0" borderId="0" xfId="1" applyNumberFormat="1" applyFont="1" applyFill="1" applyBorder="1" applyAlignment="1" applyProtection="1">
      <alignment horizontal="center"/>
    </xf>
    <xf numFmtId="4" fontId="121" fillId="9" borderId="0" xfId="1" applyNumberFormat="1" applyFont="1" applyFill="1" applyBorder="1" applyAlignment="1" applyProtection="1">
      <alignment horizontal="right" wrapText="1"/>
    </xf>
    <xf numFmtId="4" fontId="121" fillId="0" borderId="0" xfId="1" applyNumberFormat="1" applyFont="1" applyAlignment="1" applyProtection="1">
      <alignment horizontal="justify"/>
    </xf>
    <xf numFmtId="4" fontId="126" fillId="0" borderId="0" xfId="1" applyNumberFormat="1" applyFont="1" applyFill="1" applyBorder="1" applyAlignment="1" applyProtection="1">
      <alignment horizontal="right" wrapText="1"/>
    </xf>
    <xf numFmtId="4" fontId="121" fillId="9" borderId="0" xfId="1" applyNumberFormat="1" applyFont="1" applyFill="1" applyBorder="1" applyAlignment="1" applyProtection="1">
      <alignment horizontal="right" vertical="center" wrapText="1"/>
    </xf>
    <xf numFmtId="4" fontId="121" fillId="9" borderId="0" xfId="1" applyNumberFormat="1" applyFont="1" applyFill="1" applyBorder="1" applyAlignment="1" applyProtection="1">
      <alignment horizontal="right"/>
    </xf>
    <xf numFmtId="4" fontId="121" fillId="0" borderId="0" xfId="1" applyNumberFormat="1" applyFont="1" applyFill="1" applyBorder="1" applyAlignment="1" applyProtection="1">
      <alignment horizontal="right"/>
    </xf>
    <xf numFmtId="0" fontId="127" fillId="0" borderId="0" xfId="1" applyFont="1" applyBorder="1" applyProtection="1"/>
    <xf numFmtId="0" fontId="127" fillId="0" borderId="0" xfId="1" applyFont="1" applyBorder="1" applyAlignment="1" applyProtection="1"/>
    <xf numFmtId="0" fontId="121" fillId="0" borderId="0" xfId="1" applyFont="1" applyBorder="1" applyAlignment="1" applyProtection="1"/>
    <xf numFmtId="4" fontId="121" fillId="2" borderId="0" xfId="1" applyNumberFormat="1" applyFont="1" applyFill="1" applyBorder="1" applyAlignment="1" applyProtection="1">
      <alignment horizontal="right"/>
    </xf>
    <xf numFmtId="4" fontId="121" fillId="10" borderId="0" xfId="0" applyNumberFormat="1" applyFont="1" applyFill="1" applyBorder="1" applyAlignment="1" applyProtection="1">
      <alignment horizontal="right"/>
    </xf>
    <xf numFmtId="4" fontId="121" fillId="0" borderId="0" xfId="1" applyNumberFormat="1" applyFont="1" applyBorder="1" applyAlignment="1" applyProtection="1">
      <alignment horizontal="justify"/>
    </xf>
    <xf numFmtId="4" fontId="121" fillId="0" borderId="0" xfId="0" applyNumberFormat="1" applyFont="1" applyBorder="1" applyAlignment="1" applyProtection="1">
      <alignment horizontal="right"/>
    </xf>
    <xf numFmtId="4" fontId="121" fillId="0" borderId="0" xfId="0" applyNumberFormat="1" applyFont="1" applyFill="1" applyBorder="1" applyAlignment="1" applyProtection="1">
      <alignment horizontal="right"/>
    </xf>
    <xf numFmtId="4" fontId="121" fillId="9" borderId="0" xfId="0" applyNumberFormat="1" applyFont="1" applyFill="1" applyBorder="1" applyAlignment="1" applyProtection="1"/>
    <xf numFmtId="4" fontId="121" fillId="9" borderId="0" xfId="0" applyNumberFormat="1" applyFont="1" applyFill="1" applyBorder="1" applyAlignment="1" applyProtection="1">
      <alignment horizontal="right"/>
    </xf>
    <xf numFmtId="0" fontId="128" fillId="0" borderId="0" xfId="0" applyFont="1" applyBorder="1" applyProtection="1"/>
    <xf numFmtId="0" fontId="128" fillId="0" borderId="0" xfId="0" applyFont="1" applyBorder="1" applyAlignment="1" applyProtection="1"/>
    <xf numFmtId="4" fontId="121" fillId="2" borderId="0" xfId="0" applyNumberFormat="1" applyFont="1" applyFill="1" applyBorder="1" applyAlignment="1" applyProtection="1">
      <alignment horizontal="right"/>
    </xf>
    <xf numFmtId="4" fontId="121" fillId="9" borderId="0" xfId="0" applyNumberFormat="1" applyFont="1" applyFill="1" applyBorder="1" applyAlignment="1" applyProtection="1">
      <alignment horizontal="right" wrapText="1"/>
    </xf>
    <xf numFmtId="4" fontId="125" fillId="0" borderId="0" xfId="0" applyNumberFormat="1" applyFont="1" applyFill="1" applyBorder="1" applyAlignment="1" applyProtection="1">
      <alignment horizontal="right"/>
    </xf>
    <xf numFmtId="0" fontId="128" fillId="0" borderId="0" xfId="0" applyFont="1" applyFill="1" applyBorder="1" applyProtection="1"/>
    <xf numFmtId="0" fontId="128" fillId="0" borderId="0" xfId="0" applyFont="1" applyFill="1" applyBorder="1" applyAlignment="1" applyProtection="1"/>
    <xf numFmtId="4" fontId="125" fillId="2" borderId="0" xfId="0" applyNumberFormat="1" applyFont="1" applyFill="1" applyBorder="1" applyAlignment="1" applyProtection="1">
      <alignment horizontal="right"/>
    </xf>
    <xf numFmtId="0" fontId="121" fillId="0" borderId="0" xfId="0" applyNumberFormat="1" applyFont="1" applyFill="1" applyBorder="1" applyAlignment="1" applyProtection="1">
      <alignment horizontal="justify" vertical="top" wrapText="1" readingOrder="1"/>
    </xf>
    <xf numFmtId="0" fontId="121" fillId="0" borderId="0" xfId="0" applyNumberFormat="1" applyFont="1" applyFill="1" applyBorder="1" applyAlignment="1" applyProtection="1">
      <alignment horizontal="justify" wrapText="1"/>
    </xf>
    <xf numFmtId="0" fontId="121" fillId="0" borderId="0" xfId="0" applyFont="1" applyBorder="1" applyProtection="1"/>
    <xf numFmtId="0" fontId="121" fillId="0" borderId="0" xfId="0" applyFont="1" applyBorder="1" applyAlignment="1" applyProtection="1"/>
    <xf numFmtId="4" fontId="121" fillId="0" borderId="0" xfId="0" applyNumberFormat="1" applyFont="1" applyFill="1" applyBorder="1" applyAlignment="1" applyProtection="1"/>
    <xf numFmtId="4" fontId="124" fillId="0" borderId="0" xfId="0" applyNumberFormat="1" applyFont="1" applyFill="1" applyBorder="1" applyAlignment="1" applyProtection="1">
      <alignment horizontal="right"/>
    </xf>
    <xf numFmtId="4" fontId="121" fillId="0" borderId="0" xfId="0" applyNumberFormat="1" applyFont="1" applyFill="1" applyBorder="1" applyAlignment="1" applyProtection="1">
      <alignment horizontal="right" wrapText="1"/>
    </xf>
    <xf numFmtId="4" fontId="129" fillId="0" borderId="0" xfId="0" applyNumberFormat="1" applyFont="1" applyFill="1" applyBorder="1" applyProtection="1"/>
    <xf numFmtId="4" fontId="129" fillId="0" borderId="0" xfId="0" applyNumberFormat="1" applyFont="1" applyFill="1" applyBorder="1" applyAlignment="1" applyProtection="1"/>
    <xf numFmtId="4" fontId="121" fillId="9" borderId="0" xfId="0" applyNumberFormat="1" applyFont="1" applyFill="1" applyBorder="1" applyAlignment="1" applyProtection="1">
      <alignment horizontal="center" wrapText="1"/>
    </xf>
    <xf numFmtId="4" fontId="121" fillId="3" borderId="0" xfId="0" applyNumberFormat="1" applyFont="1" applyFill="1" applyBorder="1" applyAlignment="1" applyProtection="1"/>
    <xf numFmtId="4" fontId="125" fillId="0" borderId="0" xfId="0" applyNumberFormat="1" applyFont="1" applyFill="1" applyBorder="1" applyAlignment="1" applyProtection="1">
      <alignment horizontal="center"/>
    </xf>
    <xf numFmtId="4" fontId="121" fillId="2" borderId="0" xfId="0" applyNumberFormat="1" applyFont="1" applyFill="1" applyBorder="1" applyAlignment="1" applyProtection="1"/>
    <xf numFmtId="4" fontId="124" fillId="10" borderId="0" xfId="0" applyNumberFormat="1" applyFont="1" applyFill="1" applyBorder="1" applyAlignment="1" applyProtection="1">
      <alignment horizontal="right"/>
    </xf>
    <xf numFmtId="4" fontId="124" fillId="0" borderId="0" xfId="0" applyNumberFormat="1" applyFont="1" applyBorder="1" applyAlignment="1" applyProtection="1">
      <alignment horizontal="right"/>
    </xf>
    <xf numFmtId="4" fontId="123" fillId="0" borderId="0" xfId="0" applyNumberFormat="1" applyFont="1" applyFill="1" applyBorder="1" applyAlignment="1" applyProtection="1">
      <alignment horizontal="center"/>
    </xf>
    <xf numFmtId="4" fontId="130" fillId="0" borderId="0" xfId="0" applyNumberFormat="1" applyFont="1" applyFill="1" applyBorder="1" applyAlignment="1" applyProtection="1">
      <alignment horizontal="right" vertical="center" wrapText="1"/>
    </xf>
    <xf numFmtId="4" fontId="130" fillId="0" borderId="0" xfId="0" applyNumberFormat="1" applyFont="1" applyFill="1" applyBorder="1" applyAlignment="1" applyProtection="1">
      <alignment horizontal="right" wrapText="1"/>
    </xf>
    <xf numFmtId="4" fontId="124" fillId="9" borderId="0" xfId="0" applyNumberFormat="1" applyFont="1" applyFill="1" applyBorder="1" applyAlignment="1" applyProtection="1"/>
    <xf numFmtId="0" fontId="121" fillId="0" borderId="0" xfId="0" applyFont="1" applyFill="1" applyBorder="1" applyAlignment="1" applyProtection="1"/>
    <xf numFmtId="4" fontId="123" fillId="2" borderId="0" xfId="0" applyNumberFormat="1" applyFont="1" applyFill="1" applyBorder="1" applyAlignment="1" applyProtection="1">
      <alignment horizontal="right"/>
    </xf>
    <xf numFmtId="4" fontId="123" fillId="0" borderId="0" xfId="0" applyNumberFormat="1" applyFont="1" applyFill="1" applyBorder="1" applyAlignment="1" applyProtection="1">
      <alignment horizontal="right"/>
    </xf>
    <xf numFmtId="4" fontId="124" fillId="9" borderId="0" xfId="0" applyNumberFormat="1" applyFont="1" applyFill="1" applyBorder="1" applyAlignment="1" applyProtection="1">
      <alignment horizontal="right"/>
    </xf>
    <xf numFmtId="4" fontId="124" fillId="2" borderId="0" xfId="0" applyNumberFormat="1" applyFont="1" applyFill="1" applyBorder="1" applyAlignment="1" applyProtection="1">
      <alignment horizontal="right"/>
    </xf>
    <xf numFmtId="0" fontId="123" fillId="2" borderId="0" xfId="0" applyFont="1" applyFill="1" applyBorder="1" applyAlignment="1" applyProtection="1">
      <alignment horizontal="left"/>
    </xf>
    <xf numFmtId="165" fontId="124" fillId="9" borderId="0" xfId="0" applyNumberFormat="1" applyFont="1" applyFill="1" applyBorder="1" applyProtection="1"/>
    <xf numFmtId="165" fontId="124" fillId="9" borderId="0" xfId="0" applyNumberFormat="1" applyFont="1" applyFill="1" applyBorder="1" applyAlignment="1" applyProtection="1"/>
    <xf numFmtId="4" fontId="124" fillId="0" borderId="0" xfId="0" applyNumberFormat="1" applyFont="1" applyFill="1" applyBorder="1" applyAlignment="1" applyProtection="1">
      <alignment horizontal="right" wrapText="1"/>
    </xf>
    <xf numFmtId="4" fontId="124" fillId="9" borderId="0" xfId="0" applyNumberFormat="1" applyFont="1" applyFill="1" applyBorder="1" applyAlignment="1" applyProtection="1">
      <alignment horizontal="right" wrapText="1"/>
    </xf>
    <xf numFmtId="4" fontId="124" fillId="0" borderId="0" xfId="0" applyNumberFormat="1" applyFont="1" applyFill="1" applyBorder="1" applyAlignment="1" applyProtection="1"/>
    <xf numFmtId="0" fontId="125" fillId="3" borderId="0" xfId="0" applyFont="1" applyFill="1" applyBorder="1" applyAlignment="1" applyProtection="1">
      <alignment horizontal="left" vertical="center" wrapText="1"/>
    </xf>
    <xf numFmtId="0" fontId="125" fillId="3" borderId="0" xfId="0" applyFont="1" applyFill="1" applyBorder="1" applyAlignment="1" applyProtection="1">
      <alignment horizontal="left" wrapText="1"/>
    </xf>
    <xf numFmtId="0" fontId="121" fillId="0" borderId="0" xfId="0" applyFont="1" applyFill="1" applyBorder="1" applyAlignment="1" applyProtection="1">
      <alignment horizontal="justify" vertical="top" wrapText="1"/>
    </xf>
    <xf numFmtId="0" fontId="121" fillId="0" borderId="0" xfId="0" applyFont="1" applyFill="1" applyBorder="1" applyAlignment="1" applyProtection="1">
      <alignment horizontal="justify" wrapText="1"/>
    </xf>
    <xf numFmtId="0" fontId="121" fillId="0" borderId="0" xfId="0" applyFont="1" applyBorder="1" applyAlignment="1" applyProtection="1">
      <alignment horizontal="justify" vertical="top"/>
    </xf>
    <xf numFmtId="0" fontId="121" fillId="0" borderId="0" xfId="0" applyFont="1" applyBorder="1" applyAlignment="1" applyProtection="1">
      <alignment horizontal="justify"/>
    </xf>
    <xf numFmtId="4" fontId="121" fillId="0" borderId="0" xfId="0" applyNumberFormat="1" applyFont="1" applyBorder="1" applyProtection="1"/>
    <xf numFmtId="4" fontId="121" fillId="0" borderId="0" xfId="0" applyNumberFormat="1" applyFont="1" applyBorder="1" applyAlignment="1" applyProtection="1"/>
    <xf numFmtId="4" fontId="121" fillId="9" borderId="0" xfId="0" applyNumberFormat="1" applyFont="1" applyFill="1" applyBorder="1" applyProtection="1"/>
    <xf numFmtId="4" fontId="128" fillId="0" borderId="0" xfId="0" applyNumberFormat="1" applyFont="1" applyBorder="1" applyAlignment="1" applyProtection="1">
      <alignment vertical="distributed" wrapText="1"/>
    </xf>
    <xf numFmtId="4" fontId="128" fillId="0" borderId="0" xfId="0" applyNumberFormat="1" applyFont="1" applyBorder="1" applyAlignment="1" applyProtection="1">
      <alignment wrapText="1"/>
    </xf>
    <xf numFmtId="4" fontId="121" fillId="3" borderId="0" xfId="0" applyNumberFormat="1" applyFont="1" applyFill="1" applyBorder="1" applyAlignment="1" applyProtection="1">
      <alignment horizontal="right"/>
    </xf>
    <xf numFmtId="0" fontId="131" fillId="0" borderId="0" xfId="0" applyFont="1" applyFill="1" applyBorder="1" applyAlignment="1" applyProtection="1"/>
    <xf numFmtId="4" fontId="120" fillId="0" borderId="0" xfId="0" applyNumberFormat="1" applyFont="1" applyFill="1" applyBorder="1" applyAlignment="1" applyProtection="1"/>
    <xf numFmtId="4" fontId="131" fillId="0" borderId="0" xfId="0" applyNumberFormat="1" applyFont="1" applyBorder="1" applyProtection="1"/>
    <xf numFmtId="4" fontId="131" fillId="0" borderId="0" xfId="0" applyNumberFormat="1" applyFont="1" applyBorder="1" applyAlignment="1" applyProtection="1"/>
    <xf numFmtId="4" fontId="121" fillId="0" borderId="0" xfId="0" applyNumberFormat="1" applyFont="1" applyFill="1" applyBorder="1" applyProtection="1"/>
    <xf numFmtId="4" fontId="128" fillId="0" borderId="0" xfId="0" applyNumberFormat="1" applyFont="1" applyBorder="1" applyAlignment="1" applyProtection="1"/>
    <xf numFmtId="4" fontId="127" fillId="0" borderId="0" xfId="0" applyNumberFormat="1" applyFont="1" applyBorder="1" applyProtection="1"/>
    <xf numFmtId="4" fontId="127" fillId="0" borderId="0" xfId="0" applyNumberFormat="1" applyFont="1" applyBorder="1" applyAlignment="1" applyProtection="1"/>
    <xf numFmtId="4" fontId="128" fillId="0" borderId="0" xfId="0" applyNumberFormat="1" applyFont="1" applyBorder="1" applyProtection="1"/>
    <xf numFmtId="4" fontId="128" fillId="0" borderId="0" xfId="0" applyNumberFormat="1" applyFont="1" applyFill="1" applyBorder="1" applyAlignment="1" applyProtection="1"/>
    <xf numFmtId="4" fontId="128" fillId="0" borderId="0" xfId="0" applyNumberFormat="1" applyFont="1" applyFill="1" applyBorder="1" applyProtection="1"/>
    <xf numFmtId="4" fontId="121" fillId="4" borderId="0" xfId="0" applyNumberFormat="1" applyFont="1" applyFill="1" applyBorder="1" applyAlignment="1" applyProtection="1">
      <alignment horizontal="right"/>
    </xf>
    <xf numFmtId="4" fontId="121" fillId="12" borderId="0" xfId="0" applyNumberFormat="1" applyFont="1" applyFill="1" applyBorder="1" applyAlignment="1" applyProtection="1">
      <alignment horizontal="right"/>
    </xf>
    <xf numFmtId="170" fontId="7" fillId="0" borderId="0" xfId="7" applyNumberFormat="1" applyFont="1" applyFill="1" applyBorder="1" applyAlignment="1" applyProtection="1">
      <alignment horizontal="left" vertical="top"/>
    </xf>
    <xf numFmtId="0" fontId="64" fillId="0" borderId="3" xfId="0" applyFont="1" applyBorder="1" applyAlignment="1" applyProtection="1">
      <alignment horizontal="center" vertical="center"/>
    </xf>
    <xf numFmtId="0" fontId="73" fillId="0" borderId="0" xfId="1" applyFont="1" applyFill="1" applyAlignment="1" applyProtection="1">
      <alignment horizontal="justify" vertical="top"/>
    </xf>
    <xf numFmtId="0" fontId="66" fillId="0" borderId="5" xfId="5" applyFont="1" applyBorder="1" applyAlignment="1" applyProtection="1">
      <alignment horizontal="justify" vertical="top" wrapText="1"/>
    </xf>
    <xf numFmtId="0" fontId="66" fillId="0" borderId="0" xfId="5" applyFont="1" applyBorder="1" applyAlignment="1" applyProtection="1">
      <alignment horizontal="justify" vertical="top" wrapText="1"/>
    </xf>
    <xf numFmtId="0" fontId="51" fillId="0" borderId="0" xfId="5" applyFont="1" applyProtection="1"/>
    <xf numFmtId="0" fontId="7" fillId="0" borderId="1" xfId="5" applyFont="1" applyBorder="1" applyAlignment="1" applyProtection="1">
      <alignment horizontal="center" vertical="top" wrapText="1"/>
    </xf>
    <xf numFmtId="0" fontId="7" fillId="0" borderId="2" xfId="5" applyFont="1" applyBorder="1" applyAlignment="1" applyProtection="1">
      <alignment horizontal="justify" vertical="top" wrapText="1"/>
    </xf>
    <xf numFmtId="0" fontId="0" fillId="0" borderId="18" xfId="0" applyBorder="1" applyAlignment="1" applyProtection="1"/>
    <xf numFmtId="0" fontId="83" fillId="10" borderId="0" xfId="1" applyFont="1" applyFill="1" applyAlignment="1" applyProtection="1">
      <alignment horizontal="left"/>
    </xf>
    <xf numFmtId="0" fontId="73" fillId="0" borderId="0" xfId="1" applyFont="1" applyFill="1" applyAlignment="1" applyProtection="1">
      <alignment horizontal="center" vertical="top"/>
    </xf>
    <xf numFmtId="4" fontId="5" fillId="0" borderId="0" xfId="5" applyNumberFormat="1" applyFont="1" applyBorder="1" applyAlignment="1" applyProtection="1">
      <alignment horizontal="right"/>
    </xf>
    <xf numFmtId="0" fontId="52" fillId="0" borderId="0" xfId="1" applyFont="1" applyFill="1" applyAlignment="1" applyProtection="1">
      <alignment horizontal="justify" vertical="top"/>
    </xf>
    <xf numFmtId="0" fontId="73" fillId="0" borderId="0" xfId="1" applyFont="1" applyFill="1" applyBorder="1" applyAlignment="1" applyProtection="1">
      <alignment horizontal="justify" vertical="top" wrapText="1"/>
    </xf>
    <xf numFmtId="0" fontId="2" fillId="0" borderId="0" xfId="1" applyFont="1" applyFill="1" applyAlignment="1" applyProtection="1">
      <alignment horizontal="justify" vertical="top"/>
    </xf>
    <xf numFmtId="0" fontId="73" fillId="0" borderId="0" xfId="1" applyNumberFormat="1" applyFont="1" applyFill="1" applyAlignment="1" applyProtection="1">
      <alignment horizontal="justify" vertical="top"/>
    </xf>
    <xf numFmtId="0" fontId="25" fillId="0" borderId="0" xfId="1" applyNumberFormat="1" applyFont="1" applyFill="1" applyAlignment="1" applyProtection="1">
      <alignment horizontal="justify" vertical="top"/>
    </xf>
    <xf numFmtId="0" fontId="2" fillId="0" borderId="0" xfId="1" applyProtection="1"/>
    <xf numFmtId="0" fontId="73" fillId="0" borderId="0" xfId="1" applyFont="1" applyFill="1" applyAlignment="1" applyProtection="1">
      <alignment horizontal="center" vertical="center"/>
    </xf>
    <xf numFmtId="0" fontId="89" fillId="0" borderId="0" xfId="1" applyFont="1" applyFill="1" applyAlignment="1" applyProtection="1">
      <alignment horizontal="justify" vertical="top"/>
    </xf>
    <xf numFmtId="0" fontId="88" fillId="0" borderId="0" xfId="1" applyFont="1" applyAlignment="1" applyProtection="1">
      <alignment horizontal="justify" vertical="top"/>
    </xf>
    <xf numFmtId="0" fontId="6" fillId="0" borderId="0" xfId="1" applyFont="1" applyBorder="1" applyAlignment="1">
      <alignment horizontal="center" vertical="center" wrapText="1"/>
    </xf>
    <xf numFmtId="0" fontId="6" fillId="0" borderId="0" xfId="1" applyFont="1" applyFill="1" applyBorder="1" applyAlignment="1">
      <alignment horizontal="center" vertical="center"/>
    </xf>
    <xf numFmtId="4" fontId="6" fillId="0" borderId="0" xfId="1" applyNumberFormat="1" applyFont="1" applyFill="1" applyBorder="1" applyAlignment="1">
      <alignment horizontal="center" vertical="center" wrapText="1"/>
    </xf>
    <xf numFmtId="49" fontId="134" fillId="0" borderId="0" xfId="0" applyNumberFormat="1" applyFont="1" applyBorder="1" applyAlignment="1">
      <alignment horizontal="center" vertical="top"/>
    </xf>
    <xf numFmtId="0" fontId="134" fillId="0" borderId="0" xfId="0" applyNumberFormat="1" applyFont="1" applyBorder="1" applyAlignment="1">
      <alignment vertical="justify" wrapText="1"/>
    </xf>
    <xf numFmtId="49" fontId="134" fillId="0" borderId="0" xfId="0" applyNumberFormat="1" applyFont="1" applyFill="1" applyBorder="1" applyAlignment="1">
      <alignment horizontal="center" vertical="top"/>
    </xf>
    <xf numFmtId="0" fontId="134" fillId="0" borderId="0" xfId="0" applyFont="1" applyBorder="1" applyAlignment="1">
      <alignment horizontal="center"/>
    </xf>
    <xf numFmtId="3" fontId="134" fillId="0" borderId="0" xfId="0" applyNumberFormat="1" applyFont="1" applyBorder="1" applyAlignment="1">
      <alignment horizontal="center"/>
    </xf>
    <xf numFmtId="4" fontId="135" fillId="0" borderId="0" xfId="0" applyNumberFormat="1" applyFont="1" applyBorder="1" applyAlignment="1">
      <alignment horizontal="right"/>
    </xf>
    <xf numFmtId="4" fontId="135" fillId="0" borderId="0" xfId="0" applyNumberFormat="1" applyFont="1" applyBorder="1" applyAlignment="1"/>
    <xf numFmtId="0" fontId="134" fillId="0" borderId="0" xfId="0" applyNumberFormat="1" applyFont="1" applyBorder="1" applyAlignment="1">
      <alignment vertical="top" wrapText="1"/>
    </xf>
    <xf numFmtId="0" fontId="134" fillId="0" borderId="0" xfId="0" applyFont="1" applyBorder="1" applyAlignment="1">
      <alignment horizontal="center" vertical="center"/>
    </xf>
    <xf numFmtId="3" fontId="134" fillId="0" borderId="0" xfId="0" applyNumberFormat="1" applyFont="1" applyBorder="1" applyAlignment="1">
      <alignment horizontal="center" vertical="center"/>
    </xf>
    <xf numFmtId="4" fontId="135" fillId="0" borderId="0" xfId="0" applyNumberFormat="1" applyFont="1" applyBorder="1" applyAlignment="1">
      <alignment vertical="center"/>
    </xf>
    <xf numFmtId="1" fontId="134" fillId="0" borderId="0" xfId="0" applyNumberFormat="1" applyFont="1" applyBorder="1" applyAlignment="1">
      <alignment horizontal="center"/>
    </xf>
    <xf numFmtId="0" fontId="138" fillId="12" borderId="2" xfId="0" applyFont="1" applyFill="1" applyBorder="1" applyAlignment="1">
      <alignment horizontal="center" vertical="top"/>
    </xf>
    <xf numFmtId="0" fontId="138" fillId="12" borderId="3" xfId="0" applyFont="1" applyFill="1" applyBorder="1" applyAlignment="1">
      <alignment horizontal="left"/>
    </xf>
    <xf numFmtId="0" fontId="138" fillId="12" borderId="3" xfId="0" applyFont="1" applyFill="1" applyBorder="1" applyAlignment="1">
      <alignment horizontal="center"/>
    </xf>
    <xf numFmtId="4" fontId="138" fillId="12" borderId="3" xfId="0" applyNumberFormat="1" applyFont="1" applyFill="1" applyBorder="1" applyAlignment="1">
      <alignment horizontal="center"/>
    </xf>
    <xf numFmtId="4" fontId="138" fillId="12" borderId="3" xfId="0" applyNumberFormat="1" applyFont="1" applyFill="1" applyBorder="1" applyAlignment="1"/>
    <xf numFmtId="4" fontId="139" fillId="12" borderId="4" xfId="0" applyNumberFormat="1" applyFont="1" applyFill="1" applyBorder="1" applyAlignment="1"/>
    <xf numFmtId="0" fontId="140" fillId="0" borderId="0" xfId="0" applyFont="1"/>
    <xf numFmtId="49" fontId="134" fillId="0" borderId="0" xfId="0" applyNumberFormat="1" applyFont="1" applyFill="1" applyBorder="1" applyAlignment="1">
      <alignment horizontal="center" vertical="top" wrapText="1"/>
    </xf>
    <xf numFmtId="0" fontId="8" fillId="3" borderId="3" xfId="0" applyFont="1" applyFill="1" applyBorder="1" applyAlignment="1">
      <alignment horizontal="justify" vertical="center" wrapText="1"/>
    </xf>
    <xf numFmtId="0" fontId="53" fillId="2" borderId="3" xfId="0" applyFont="1" applyFill="1" applyBorder="1" applyAlignment="1">
      <alignment horizontal="justify"/>
    </xf>
    <xf numFmtId="0" fontId="53" fillId="3" borderId="3" xfId="0" applyFont="1" applyFill="1" applyBorder="1" applyAlignment="1">
      <alignment horizontal="justify"/>
    </xf>
    <xf numFmtId="4" fontId="7" fillId="0" borderId="4" xfId="0" applyNumberFormat="1" applyFont="1" applyFill="1" applyBorder="1" applyAlignment="1">
      <alignment horizontal="center"/>
    </xf>
    <xf numFmtId="0" fontId="53" fillId="2" borderId="3" xfId="0" applyFont="1" applyFill="1" applyBorder="1" applyAlignment="1">
      <alignment horizontal="left" vertical="center" wrapText="1"/>
    </xf>
    <xf numFmtId="0" fontId="53" fillId="3" borderId="3" xfId="0" applyFont="1" applyFill="1" applyBorder="1" applyAlignment="1">
      <alignment horizontal="left" vertical="center" wrapText="1"/>
    </xf>
    <xf numFmtId="0" fontId="8" fillId="3" borderId="3" xfId="0" applyFont="1" applyFill="1" applyBorder="1" applyAlignment="1">
      <alignment horizontal="left" vertical="center" wrapText="1"/>
    </xf>
    <xf numFmtId="0" fontId="3" fillId="0" borderId="0" xfId="1" applyFont="1" applyFill="1" applyBorder="1" applyAlignment="1">
      <alignment horizontal="justify" vertical="top" wrapText="1"/>
    </xf>
    <xf numFmtId="0" fontId="14" fillId="0" borderId="0" xfId="0" applyFont="1" applyFill="1" applyBorder="1" applyAlignment="1">
      <alignment horizontal="justify" vertical="top" wrapText="1"/>
    </xf>
    <xf numFmtId="0" fontId="8" fillId="2" borderId="3" xfId="0" applyFont="1" applyFill="1" applyBorder="1" applyAlignment="1">
      <alignment horizontal="left" vertical="center"/>
    </xf>
    <xf numFmtId="0" fontId="26" fillId="10" borderId="0" xfId="0" applyFont="1" applyFill="1" applyBorder="1" applyAlignment="1">
      <alignment horizontal="left" vertical="center"/>
    </xf>
    <xf numFmtId="164" fontId="73" fillId="0" borderId="6" xfId="4" applyFont="1" applyBorder="1" applyAlignment="1" applyProtection="1">
      <alignment horizontal="center"/>
    </xf>
    <xf numFmtId="164" fontId="73" fillId="0" borderId="0" xfId="4" applyFont="1" applyBorder="1" applyAlignment="1" applyProtection="1">
      <alignment horizontal="center"/>
    </xf>
    <xf numFmtId="164" fontId="73" fillId="0" borderId="7" xfId="4" applyFont="1" applyBorder="1" applyAlignment="1" applyProtection="1">
      <alignment horizontal="center"/>
    </xf>
    <xf numFmtId="0" fontId="8" fillId="0" borderId="3" xfId="0" applyFont="1" applyFill="1" applyBorder="1" applyAlignment="1">
      <alignment horizontal="justify" wrapText="1"/>
    </xf>
    <xf numFmtId="0" fontId="0" fillId="0" borderId="3" xfId="0" applyBorder="1" applyAlignment="1"/>
    <xf numFmtId="0" fontId="0" fillId="0" borderId="4" xfId="0" applyBorder="1" applyAlignment="1"/>
    <xf numFmtId="0" fontId="7" fillId="3" borderId="3" xfId="0" applyFont="1" applyFill="1" applyBorder="1" applyAlignment="1" applyProtection="1">
      <alignment horizontal="left" vertical="center" wrapText="1"/>
    </xf>
    <xf numFmtId="0" fontId="83" fillId="3" borderId="3" xfId="0" applyFont="1" applyFill="1" applyBorder="1" applyAlignment="1" applyProtection="1">
      <alignment horizontal="left" vertical="center" wrapText="1"/>
    </xf>
    <xf numFmtId="4" fontId="7" fillId="0" borderId="4" xfId="0" applyNumberFormat="1" applyFont="1" applyFill="1" applyBorder="1" applyAlignment="1" applyProtection="1">
      <alignment horizontal="center"/>
    </xf>
    <xf numFmtId="0" fontId="113" fillId="13" borderId="0" xfId="1" applyFont="1" applyFill="1" applyAlignment="1" applyProtection="1">
      <alignment horizontal="left" wrapText="1"/>
    </xf>
    <xf numFmtId="0" fontId="110" fillId="13" borderId="0" xfId="0" applyFont="1" applyFill="1" applyAlignment="1" applyProtection="1">
      <alignment wrapText="1"/>
    </xf>
    <xf numFmtId="0" fontId="7" fillId="10" borderId="0" xfId="1" applyFont="1" applyFill="1" applyAlignment="1" applyProtection="1">
      <alignment horizontal="left" wrapText="1"/>
    </xf>
    <xf numFmtId="0" fontId="8" fillId="10" borderId="0" xfId="1" applyFont="1" applyFill="1" applyAlignment="1" applyProtection="1">
      <alignment horizontal="left" wrapText="1"/>
    </xf>
    <xf numFmtId="0" fontId="0" fillId="10" borderId="0" xfId="0" applyFill="1" applyAlignment="1" applyProtection="1">
      <alignment wrapText="1"/>
    </xf>
    <xf numFmtId="0" fontId="81" fillId="3" borderId="3" xfId="0" applyFont="1" applyFill="1" applyBorder="1" applyAlignment="1" applyProtection="1">
      <alignment horizontal="left" vertical="center" wrapText="1"/>
    </xf>
    <xf numFmtId="0" fontId="8" fillId="3" borderId="3" xfId="0" applyFont="1" applyFill="1" applyBorder="1" applyAlignment="1" applyProtection="1">
      <alignment horizontal="left" vertical="center" wrapText="1"/>
    </xf>
    <xf numFmtId="0" fontId="7" fillId="2" borderId="2" xfId="1" applyFont="1" applyFill="1" applyBorder="1" applyAlignment="1" applyProtection="1">
      <alignment horizontal="left" vertical="top"/>
    </xf>
    <xf numFmtId="0" fontId="0" fillId="0" borderId="3" xfId="0" applyBorder="1" applyAlignment="1" applyProtection="1"/>
    <xf numFmtId="0" fontId="0" fillId="0" borderId="4" xfId="0" applyBorder="1" applyAlignment="1" applyProtection="1"/>
    <xf numFmtId="0" fontId="113" fillId="13" borderId="0" xfId="1" applyFont="1" applyFill="1" applyAlignment="1">
      <alignment horizontal="left" wrapText="1"/>
    </xf>
    <xf numFmtId="0" fontId="115" fillId="13" borderId="0" xfId="0" applyFont="1" applyFill="1" applyAlignment="1">
      <alignment wrapText="1"/>
    </xf>
    <xf numFmtId="0" fontId="7" fillId="3" borderId="3" xfId="0" applyFont="1" applyFill="1" applyBorder="1" applyAlignment="1">
      <alignment horizontal="left" vertical="center" wrapText="1"/>
    </xf>
    <xf numFmtId="0" fontId="83" fillId="3" borderId="3" xfId="0" applyFont="1" applyFill="1" applyBorder="1" applyAlignment="1">
      <alignment horizontal="left" vertical="center" wrapText="1"/>
    </xf>
    <xf numFmtId="0" fontId="7" fillId="0" borderId="2" xfId="5" applyFont="1" applyBorder="1" applyAlignment="1">
      <alignment horizontal="justify" vertical="center" wrapText="1"/>
    </xf>
    <xf numFmtId="0" fontId="84" fillId="0" borderId="3" xfId="0" applyFont="1" applyBorder="1" applyAlignment="1"/>
    <xf numFmtId="0" fontId="84" fillId="0" borderId="18" xfId="0" applyFont="1" applyBorder="1" applyAlignment="1"/>
    <xf numFmtId="0" fontId="0" fillId="0" borderId="18" xfId="0" applyBorder="1" applyAlignment="1"/>
    <xf numFmtId="0" fontId="112" fillId="14" borderId="3" xfId="0" applyFont="1" applyFill="1" applyBorder="1" applyAlignment="1">
      <alignment horizontal="left" vertical="center" wrapText="1"/>
    </xf>
    <xf numFmtId="0" fontId="110" fillId="13" borderId="0" xfId="0" applyFont="1" applyFill="1" applyAlignment="1">
      <alignment wrapText="1"/>
    </xf>
    <xf numFmtId="0" fontId="64" fillId="0" borderId="21" xfId="9" applyFont="1" applyBorder="1" applyAlignment="1">
      <alignment horizontal="left" wrapText="1"/>
    </xf>
    <xf numFmtId="0" fontId="64" fillId="0" borderId="0" xfId="9" applyFont="1" applyBorder="1" applyAlignment="1">
      <alignment horizontal="left" wrapText="1"/>
    </xf>
    <xf numFmtId="0" fontId="64" fillId="0" borderId="24" xfId="9" applyFont="1" applyBorder="1" applyAlignment="1">
      <alignment horizontal="left" wrapText="1"/>
    </xf>
    <xf numFmtId="1" fontId="74" fillId="0" borderId="21" xfId="9" applyNumberFormat="1" applyFont="1" applyFill="1" applyBorder="1" applyAlignment="1">
      <alignment horizontal="left"/>
    </xf>
    <xf numFmtId="1" fontId="74" fillId="0" borderId="0" xfId="9" applyNumberFormat="1" applyFont="1" applyFill="1" applyBorder="1" applyAlignment="1">
      <alignment horizontal="left"/>
    </xf>
    <xf numFmtId="0" fontId="74" fillId="0" borderId="24" xfId="9" applyFont="1" applyFill="1" applyBorder="1" applyAlignment="1">
      <alignment horizontal="left"/>
    </xf>
    <xf numFmtId="1" fontId="74" fillId="0" borderId="22" xfId="9" applyNumberFormat="1" applyFont="1" applyFill="1" applyBorder="1" applyAlignment="1">
      <alignment horizontal="left"/>
    </xf>
    <xf numFmtId="1" fontId="74" fillId="0" borderId="24" xfId="9" applyNumberFormat="1" applyFont="1" applyFill="1" applyBorder="1" applyAlignment="1">
      <alignment horizontal="left"/>
    </xf>
    <xf numFmtId="0" fontId="74" fillId="0" borderId="0" xfId="9" applyFont="1" applyFill="1" applyBorder="1" applyAlignment="1">
      <alignment horizontal="left"/>
    </xf>
    <xf numFmtId="0" fontId="74" fillId="0" borderId="21" xfId="9" applyFont="1" applyFill="1" applyBorder="1" applyAlignment="1">
      <alignment horizontal="left"/>
    </xf>
    <xf numFmtId="0" fontId="73" fillId="0" borderId="24" xfId="9" applyFont="1" applyFill="1" applyBorder="1" applyAlignment="1">
      <alignment horizontal="left"/>
    </xf>
    <xf numFmtId="0" fontId="73" fillId="0" borderId="0" xfId="9" applyFont="1" applyFill="1" applyBorder="1" applyAlignment="1">
      <alignment horizontal="left"/>
    </xf>
    <xf numFmtId="0" fontId="73" fillId="0" borderId="21" xfId="9" applyFont="1" applyFill="1" applyBorder="1" applyAlignment="1">
      <alignment horizontal="left"/>
    </xf>
    <xf numFmtId="0" fontId="50" fillId="0" borderId="15" xfId="1" applyFont="1" applyFill="1" applyBorder="1" applyAlignment="1">
      <alignment horizontal="center" vertical="center"/>
    </xf>
    <xf numFmtId="0" fontId="50" fillId="0" borderId="25" xfId="1" applyFont="1" applyFill="1" applyBorder="1" applyAlignment="1">
      <alignment horizontal="center" vertical="center"/>
    </xf>
    <xf numFmtId="0" fontId="50" fillId="0" borderId="8" xfId="1" applyFont="1" applyFill="1" applyBorder="1" applyAlignment="1">
      <alignment horizontal="center" vertical="center"/>
    </xf>
    <xf numFmtId="0" fontId="73" fillId="0" borderId="0" xfId="1" applyNumberFormat="1" applyFont="1" applyFill="1" applyBorder="1" applyAlignment="1">
      <alignment horizontal="justify" vertical="top"/>
    </xf>
    <xf numFmtId="0" fontId="0" fillId="0" borderId="0" xfId="0" applyBorder="1" applyAlignment="1">
      <alignment horizontal="justify" vertical="top"/>
    </xf>
    <xf numFmtId="0" fontId="73" fillId="0" borderId="19" xfId="1" applyNumberFormat="1" applyFont="1" applyFill="1" applyBorder="1" applyAlignment="1">
      <alignment horizontal="justify" vertical="top"/>
    </xf>
    <xf numFmtId="0" fontId="73" fillId="0" borderId="20" xfId="1" applyNumberFormat="1" applyFont="1" applyFill="1" applyBorder="1" applyAlignment="1">
      <alignment horizontal="justify" vertical="top"/>
    </xf>
    <xf numFmtId="0" fontId="0" fillId="0" borderId="19" xfId="0" applyBorder="1" applyAlignment="1">
      <alignment horizontal="justify" vertical="top"/>
    </xf>
  </cellXfs>
  <cellStyles count="14">
    <cellStyle name="Komma" xfId="13" builtinId="3"/>
    <cellStyle name="Komma 2" xfId="4"/>
    <cellStyle name="Komma 3" xfId="8"/>
    <cellStyle name="Normal_Hangar za vozila" xfId="2"/>
    <cellStyle name="Normal_Sheet1" xfId="7"/>
    <cellStyle name="Prozent" xfId="12" builtinId="5"/>
    <cellStyle name="Standard" xfId="0" builtinId="0"/>
    <cellStyle name="Standard 2" xfId="1"/>
    <cellStyle name="Standard 3" xfId="3"/>
    <cellStyle name="Standard 4" xfId="5"/>
    <cellStyle name="Standard 5" xfId="9"/>
    <cellStyle name="Standard 6" xfId="11"/>
    <cellStyle name="TableStyleLight1" xfId="10"/>
    <cellStyle name="Währung 2"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C6"/>
  <sheetViews>
    <sheetView showZeros="0" view="pageLayout" zoomScaleNormal="100" workbookViewId="0">
      <selection activeCell="E8" sqref="E8"/>
    </sheetView>
  </sheetViews>
  <sheetFormatPr baseColWidth="10" defaultColWidth="11.42578125" defaultRowHeight="15"/>
  <cols>
    <col min="1" max="1" width="6.140625" customWidth="1"/>
  </cols>
  <sheetData>
    <row r="3" spans="2:3" ht="18.75">
      <c r="B3" s="909" t="s">
        <v>1105</v>
      </c>
    </row>
    <row r="5" spans="2:3">
      <c r="B5" t="s">
        <v>1106</v>
      </c>
      <c r="C5" s="911">
        <v>43325</v>
      </c>
    </row>
    <row r="6" spans="2:3">
      <c r="B6" t="s">
        <v>1107</v>
      </c>
      <c r="C6" s="910">
        <v>0</v>
      </c>
    </row>
  </sheetData>
  <pageMargins left="0.78749999999999998" right="0.39374999999999999" top="0.73406249999999995" bottom="0.63124999999999998" header="0.39374999999999999" footer="0.39374999999999999"/>
  <pageSetup paperSize="9" scale="87" orientation="portrait" r:id="rId1"/>
  <headerFooter alignWithMargins="0">
    <oddHeader>&amp;L&amp;"Times New Roman,Standard"Construction of BCP Kotroman&amp;R&amp;"Times New Roman,Standard"&amp;10Bill of Quantities</oddHeader>
    <oddFooter>&amp;R&amp;"Times New Roman,Regular"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69"/>
  <sheetViews>
    <sheetView showZeros="0" zoomScale="90" zoomScaleNormal="90" zoomScaleSheetLayoutView="100" workbookViewId="0">
      <selection activeCell="F66" sqref="F66"/>
    </sheetView>
  </sheetViews>
  <sheetFormatPr baseColWidth="10" defaultColWidth="11.42578125" defaultRowHeight="15"/>
  <cols>
    <col min="1" max="1" width="6.5703125" customWidth="1"/>
    <col min="2" max="2" width="36.42578125" style="94" customWidth="1"/>
    <col min="4" max="4" width="7.7109375" customWidth="1"/>
    <col min="6" max="6" width="13.85546875" customWidth="1"/>
    <col min="7" max="7" width="14.7109375" customWidth="1"/>
  </cols>
  <sheetData>
    <row r="2" spans="1:7" ht="18.75">
      <c r="B2" s="1106" t="s">
        <v>1163</v>
      </c>
    </row>
    <row r="3" spans="1:7" ht="18.75">
      <c r="B3" s="1106" t="s">
        <v>1164</v>
      </c>
    </row>
    <row r="5" spans="1:7" ht="31.5">
      <c r="A5" s="1478" t="s">
        <v>891</v>
      </c>
      <c r="B5" s="1479" t="s">
        <v>892</v>
      </c>
      <c r="C5" s="843" t="s">
        <v>894</v>
      </c>
      <c r="D5" s="843" t="s">
        <v>1</v>
      </c>
      <c r="E5" s="1480" t="s">
        <v>893</v>
      </c>
      <c r="F5" s="1480" t="s">
        <v>1232</v>
      </c>
      <c r="G5" s="1480" t="s">
        <v>1233</v>
      </c>
    </row>
    <row r="6" spans="1:7" ht="60">
      <c r="A6" s="1481" t="s">
        <v>52</v>
      </c>
      <c r="B6" s="1488" t="s">
        <v>1301</v>
      </c>
      <c r="C6" s="1500" t="s">
        <v>1322</v>
      </c>
      <c r="D6" s="1484"/>
      <c r="E6" s="1484"/>
      <c r="F6" s="1485"/>
      <c r="G6" s="1487"/>
    </row>
    <row r="7" spans="1:7" ht="15.75">
      <c r="A7" s="1481"/>
      <c r="B7" s="1488" t="s">
        <v>1308</v>
      </c>
      <c r="C7" s="1483"/>
      <c r="D7" s="1484" t="s">
        <v>176</v>
      </c>
      <c r="E7" s="1484">
        <v>90</v>
      </c>
      <c r="F7" s="805"/>
      <c r="G7" s="47">
        <f t="shared" ref="G7:G9" si="0">E7*F7</f>
        <v>0</v>
      </c>
    </row>
    <row r="8" spans="1:7" ht="15.75">
      <c r="A8" s="1481"/>
      <c r="B8" s="1488" t="s">
        <v>1309</v>
      </c>
      <c r="C8" s="1481"/>
      <c r="D8" s="1484" t="s">
        <v>176</v>
      </c>
      <c r="E8" s="1484">
        <v>90</v>
      </c>
      <c r="F8" s="805"/>
      <c r="G8" s="47">
        <f t="shared" si="0"/>
        <v>0</v>
      </c>
    </row>
    <row r="9" spans="1:7" ht="75">
      <c r="A9" s="1481" t="s">
        <v>56</v>
      </c>
      <c r="B9" s="1488" t="s">
        <v>1302</v>
      </c>
      <c r="C9" s="1500" t="s">
        <v>1322</v>
      </c>
      <c r="D9" s="1484"/>
      <c r="E9" s="1484">
        <v>0.5</v>
      </c>
      <c r="F9" s="805"/>
      <c r="G9" s="47">
        <f t="shared" si="0"/>
        <v>0</v>
      </c>
    </row>
    <row r="10" spans="1:7" ht="120">
      <c r="A10" s="1481" t="s">
        <v>350</v>
      </c>
      <c r="B10" s="1488" t="s">
        <v>1310</v>
      </c>
      <c r="C10" s="1500" t="s">
        <v>1322</v>
      </c>
      <c r="D10" s="1484"/>
      <c r="E10" s="1484"/>
      <c r="F10" s="1485"/>
      <c r="G10" s="1486"/>
    </row>
    <row r="11" spans="1:7" ht="15.75">
      <c r="A11" s="1481"/>
      <c r="B11" s="1488" t="s">
        <v>1308</v>
      </c>
      <c r="C11" s="1481"/>
      <c r="D11" s="1484" t="s">
        <v>176</v>
      </c>
      <c r="E11" s="1484">
        <v>90</v>
      </c>
      <c r="F11" s="805"/>
      <c r="G11" s="47">
        <f t="shared" ref="G11:G14" si="1">E11*F11</f>
        <v>0</v>
      </c>
    </row>
    <row r="12" spans="1:7" ht="15.75">
      <c r="A12" s="1481"/>
      <c r="B12" s="1488" t="s">
        <v>1309</v>
      </c>
      <c r="C12" s="1481"/>
      <c r="D12" s="1484" t="s">
        <v>176</v>
      </c>
      <c r="E12" s="1484">
        <v>90</v>
      </c>
      <c r="F12" s="805"/>
      <c r="G12" s="47">
        <f t="shared" si="1"/>
        <v>0</v>
      </c>
    </row>
    <row r="13" spans="1:7" ht="75">
      <c r="A13" s="1481" t="s">
        <v>552</v>
      </c>
      <c r="B13" s="1482" t="s">
        <v>1192</v>
      </c>
      <c r="C13" s="1500" t="s">
        <v>1322</v>
      </c>
      <c r="D13" s="1484" t="s">
        <v>1300</v>
      </c>
      <c r="E13" s="1484">
        <v>5</v>
      </c>
      <c r="F13" s="805"/>
      <c r="G13" s="47">
        <f t="shared" si="1"/>
        <v>0</v>
      </c>
    </row>
    <row r="14" spans="1:7" ht="135">
      <c r="A14" s="1481" t="s">
        <v>697</v>
      </c>
      <c r="B14" s="1482" t="s">
        <v>1303</v>
      </c>
      <c r="C14" s="1500" t="s">
        <v>1322</v>
      </c>
      <c r="D14" s="1489" t="s">
        <v>1300</v>
      </c>
      <c r="E14" s="1484">
        <v>5</v>
      </c>
      <c r="F14" s="805"/>
      <c r="G14" s="47">
        <f t="shared" si="1"/>
        <v>0</v>
      </c>
    </row>
    <row r="15" spans="1:7" ht="135.75">
      <c r="A15" s="1481" t="s">
        <v>702</v>
      </c>
      <c r="B15" s="1488" t="s">
        <v>1311</v>
      </c>
      <c r="C15" s="1500" t="s">
        <v>1322</v>
      </c>
      <c r="D15" s="1489"/>
      <c r="E15" s="1484"/>
      <c r="F15" s="1490"/>
      <c r="G15" s="1491"/>
    </row>
    <row r="16" spans="1:7" ht="15.75">
      <c r="A16" s="1481"/>
      <c r="B16" s="1488" t="s">
        <v>1312</v>
      </c>
      <c r="C16" s="1481"/>
      <c r="D16" s="1489" t="s">
        <v>176</v>
      </c>
      <c r="E16" s="1484">
        <v>20</v>
      </c>
      <c r="F16" s="805"/>
      <c r="G16" s="47">
        <f t="shared" ref="G16:G19" si="2">E16*F16</f>
        <v>0</v>
      </c>
    </row>
    <row r="17" spans="1:7" ht="15.75">
      <c r="A17" s="1481"/>
      <c r="B17" s="1488" t="s">
        <v>1313</v>
      </c>
      <c r="C17" s="1481"/>
      <c r="D17" s="1489" t="s">
        <v>176</v>
      </c>
      <c r="E17" s="1484">
        <v>15</v>
      </c>
      <c r="F17" s="805"/>
      <c r="G17" s="47">
        <f t="shared" si="2"/>
        <v>0</v>
      </c>
    </row>
    <row r="18" spans="1:7" ht="60">
      <c r="A18" s="1481" t="s">
        <v>703</v>
      </c>
      <c r="B18" s="1482" t="s">
        <v>1193</v>
      </c>
      <c r="C18" s="1500" t="s">
        <v>1322</v>
      </c>
      <c r="D18" s="1489"/>
      <c r="E18" s="1484">
        <v>0.5</v>
      </c>
      <c r="F18" s="805"/>
      <c r="G18" s="47">
        <f t="shared" si="2"/>
        <v>0</v>
      </c>
    </row>
    <row r="19" spans="1:7" ht="90">
      <c r="A19" s="1481" t="s">
        <v>952</v>
      </c>
      <c r="B19" s="1482" t="s">
        <v>1194</v>
      </c>
      <c r="C19" s="1500" t="s">
        <v>1322</v>
      </c>
      <c r="D19" s="32" t="s">
        <v>898</v>
      </c>
      <c r="E19" s="1484">
        <v>1</v>
      </c>
      <c r="F19" s="805"/>
      <c r="G19" s="47">
        <f t="shared" si="2"/>
        <v>0</v>
      </c>
    </row>
    <row r="20" spans="1:7" ht="60">
      <c r="A20" s="1481" t="s">
        <v>955</v>
      </c>
      <c r="B20" s="1482" t="s">
        <v>1181</v>
      </c>
      <c r="C20" s="1500" t="s">
        <v>1322</v>
      </c>
      <c r="D20" s="1484"/>
      <c r="E20" s="1484"/>
      <c r="F20" s="1492"/>
      <c r="G20" s="1486"/>
    </row>
    <row r="21" spans="1:7" ht="30">
      <c r="A21" s="1481"/>
      <c r="B21" s="1482" t="s">
        <v>1182</v>
      </c>
      <c r="C21" s="1481"/>
      <c r="D21" s="1484" t="s">
        <v>11</v>
      </c>
      <c r="E21" s="1484">
        <v>2</v>
      </c>
      <c r="F21" s="805"/>
      <c r="G21" s="47">
        <f t="shared" ref="G21" si="3">E21*F21</f>
        <v>0</v>
      </c>
    </row>
    <row r="22" spans="1:7" ht="60">
      <c r="A22" s="1481" t="s">
        <v>957</v>
      </c>
      <c r="B22" s="1482" t="s">
        <v>1183</v>
      </c>
      <c r="C22" s="1500" t="s">
        <v>1322</v>
      </c>
      <c r="D22" s="1484"/>
      <c r="E22" s="1484"/>
      <c r="F22" s="1485"/>
      <c r="G22" s="1487"/>
    </row>
    <row r="23" spans="1:7" ht="30">
      <c r="A23" s="1481"/>
      <c r="B23" s="1482" t="s">
        <v>1304</v>
      </c>
      <c r="C23" s="1481"/>
      <c r="D23" s="1484" t="s">
        <v>11</v>
      </c>
      <c r="E23" s="1484">
        <v>4</v>
      </c>
      <c r="F23" s="805"/>
      <c r="G23" s="47">
        <f t="shared" ref="G23:G24" si="4">E23*F23</f>
        <v>0</v>
      </c>
    </row>
    <row r="24" spans="1:7" ht="30">
      <c r="A24" s="1481"/>
      <c r="B24" s="1482" t="s">
        <v>1184</v>
      </c>
      <c r="C24" s="1481"/>
      <c r="D24" s="1484" t="s">
        <v>11</v>
      </c>
      <c r="E24" s="1484">
        <v>24</v>
      </c>
      <c r="F24" s="805"/>
      <c r="G24" s="47">
        <f t="shared" si="4"/>
        <v>0</v>
      </c>
    </row>
    <row r="25" spans="1:7" ht="60">
      <c r="A25" s="1481" t="s">
        <v>959</v>
      </c>
      <c r="B25" s="1482" t="s">
        <v>1185</v>
      </c>
      <c r="C25" s="1500" t="s">
        <v>1322</v>
      </c>
      <c r="D25" s="1484"/>
      <c r="E25" s="1484"/>
      <c r="F25" s="1485"/>
      <c r="G25" s="1487"/>
    </row>
    <row r="26" spans="1:7" ht="30">
      <c r="A26" s="1481"/>
      <c r="B26" s="1482" t="s">
        <v>1186</v>
      </c>
      <c r="C26" s="1481"/>
      <c r="D26" s="1484" t="s">
        <v>11</v>
      </c>
      <c r="E26" s="1484">
        <v>1</v>
      </c>
      <c r="F26" s="805"/>
      <c r="G26" s="47">
        <f>E26*F26</f>
        <v>0</v>
      </c>
    </row>
    <row r="27" spans="1:7" ht="60">
      <c r="A27" s="1481" t="s">
        <v>961</v>
      </c>
      <c r="B27" s="1488" t="s">
        <v>1301</v>
      </c>
      <c r="C27" s="1500" t="s">
        <v>1322</v>
      </c>
      <c r="D27" s="1484"/>
      <c r="E27" s="1484"/>
      <c r="F27" s="1485"/>
      <c r="G27" s="1487"/>
    </row>
    <row r="28" spans="1:7" ht="15.75">
      <c r="A28" s="1481"/>
      <c r="B28" s="1488" t="s">
        <v>1308</v>
      </c>
      <c r="C28" s="1481"/>
      <c r="D28" s="1484" t="s">
        <v>176</v>
      </c>
      <c r="E28" s="1484">
        <v>115</v>
      </c>
      <c r="F28" s="805"/>
      <c r="G28" s="47">
        <f t="shared" ref="G28:G34" si="5">E28*F28</f>
        <v>0</v>
      </c>
    </row>
    <row r="29" spans="1:7" ht="15.75">
      <c r="A29" s="1481"/>
      <c r="B29" s="1488" t="s">
        <v>1309</v>
      </c>
      <c r="C29" s="1481"/>
      <c r="D29" s="1484" t="s">
        <v>176</v>
      </c>
      <c r="E29" s="1484">
        <v>80</v>
      </c>
      <c r="F29" s="805"/>
      <c r="G29" s="47">
        <f t="shared" si="5"/>
        <v>0</v>
      </c>
    </row>
    <row r="30" spans="1:7" ht="15.75">
      <c r="A30" s="1481"/>
      <c r="B30" s="1488" t="s">
        <v>1314</v>
      </c>
      <c r="C30" s="1481"/>
      <c r="D30" s="1484" t="s">
        <v>176</v>
      </c>
      <c r="E30" s="1484">
        <v>140</v>
      </c>
      <c r="F30" s="805"/>
      <c r="G30" s="47">
        <f t="shared" si="5"/>
        <v>0</v>
      </c>
    </row>
    <row r="31" spans="1:7" ht="15.75">
      <c r="A31" s="1481"/>
      <c r="B31" s="1488" t="s">
        <v>1315</v>
      </c>
      <c r="C31" s="1481"/>
      <c r="D31" s="1484" t="s">
        <v>176</v>
      </c>
      <c r="E31" s="1484">
        <v>31</v>
      </c>
      <c r="F31" s="805"/>
      <c r="G31" s="47">
        <f t="shared" si="5"/>
        <v>0</v>
      </c>
    </row>
    <row r="32" spans="1:7" ht="15.75">
      <c r="A32" s="1481"/>
      <c r="B32" s="1488" t="s">
        <v>1316</v>
      </c>
      <c r="C32" s="1481"/>
      <c r="D32" s="1484" t="s">
        <v>176</v>
      </c>
      <c r="E32" s="1484">
        <v>55</v>
      </c>
      <c r="F32" s="805"/>
      <c r="G32" s="47">
        <f t="shared" si="5"/>
        <v>0</v>
      </c>
    </row>
    <row r="33" spans="1:7" ht="15.75">
      <c r="A33" s="1481"/>
      <c r="B33" s="1488" t="s">
        <v>1317</v>
      </c>
      <c r="C33" s="1481"/>
      <c r="D33" s="1484" t="s">
        <v>176</v>
      </c>
      <c r="E33" s="1484">
        <v>27</v>
      </c>
      <c r="F33" s="805"/>
      <c r="G33" s="47">
        <f t="shared" si="5"/>
        <v>0</v>
      </c>
    </row>
    <row r="34" spans="1:7" ht="15.75">
      <c r="A34" s="1481"/>
      <c r="B34" s="1488" t="s">
        <v>1318</v>
      </c>
      <c r="C34" s="1481"/>
      <c r="D34" s="1484" t="s">
        <v>176</v>
      </c>
      <c r="E34" s="1484">
        <v>8</v>
      </c>
      <c r="F34" s="805"/>
      <c r="G34" s="47">
        <f t="shared" si="5"/>
        <v>0</v>
      </c>
    </row>
    <row r="35" spans="1:7" ht="30">
      <c r="A35" s="1481" t="s">
        <v>963</v>
      </c>
      <c r="B35" s="1488" t="s">
        <v>1187</v>
      </c>
      <c r="C35" s="1500" t="s">
        <v>1322</v>
      </c>
      <c r="D35" s="1484"/>
      <c r="E35" s="1484"/>
      <c r="F35" s="1485"/>
      <c r="G35" s="1486"/>
    </row>
    <row r="36" spans="1:7" ht="15.75">
      <c r="A36" s="1481"/>
      <c r="B36" s="1488" t="s">
        <v>1188</v>
      </c>
      <c r="C36" s="1481"/>
      <c r="D36" s="1484" t="s">
        <v>11</v>
      </c>
      <c r="E36" s="1484">
        <v>18</v>
      </c>
      <c r="F36" s="805"/>
      <c r="G36" s="47">
        <f t="shared" ref="G36:G38" si="6">E36*F36</f>
        <v>0</v>
      </c>
    </row>
    <row r="37" spans="1:7" ht="15.75">
      <c r="A37" s="1481"/>
      <c r="B37" s="1488" t="s">
        <v>1189</v>
      </c>
      <c r="C37" s="1481"/>
      <c r="D37" s="1484" t="s">
        <v>11</v>
      </c>
      <c r="E37" s="1484">
        <v>6</v>
      </c>
      <c r="F37" s="805"/>
      <c r="G37" s="47">
        <f t="shared" si="6"/>
        <v>0</v>
      </c>
    </row>
    <row r="38" spans="1:7" ht="15.75">
      <c r="A38" s="1481"/>
      <c r="B38" s="1488" t="s">
        <v>1190</v>
      </c>
      <c r="C38" s="1481"/>
      <c r="D38" s="1484" t="s">
        <v>11</v>
      </c>
      <c r="E38" s="1484">
        <v>2</v>
      </c>
      <c r="F38" s="805"/>
      <c r="G38" s="47">
        <f t="shared" si="6"/>
        <v>0</v>
      </c>
    </row>
    <row r="39" spans="1:7" ht="75">
      <c r="A39" s="1481" t="s">
        <v>964</v>
      </c>
      <c r="B39" s="1488" t="s">
        <v>1191</v>
      </c>
      <c r="C39" s="1500" t="s">
        <v>1322</v>
      </c>
      <c r="D39" s="1484"/>
      <c r="E39" s="1484">
        <v>0.5</v>
      </c>
      <c r="F39" s="1485"/>
      <c r="G39" s="1486"/>
    </row>
    <row r="40" spans="1:7" ht="120">
      <c r="A40" s="1481" t="s">
        <v>983</v>
      </c>
      <c r="B40" s="1488" t="s">
        <v>1310</v>
      </c>
      <c r="C40" s="1500" t="s">
        <v>1322</v>
      </c>
      <c r="D40" s="1484"/>
      <c r="E40" s="1484"/>
      <c r="F40" s="1485"/>
      <c r="G40" s="1486"/>
    </row>
    <row r="41" spans="1:7" ht="15.75">
      <c r="A41" s="1481"/>
      <c r="B41" s="1488" t="s">
        <v>1308</v>
      </c>
      <c r="C41" s="1483"/>
      <c r="D41" s="1484" t="s">
        <v>176</v>
      </c>
      <c r="E41" s="1484">
        <v>115</v>
      </c>
      <c r="F41" s="805"/>
      <c r="G41" s="47">
        <f t="shared" ref="G41:G49" si="7">E41*F41</f>
        <v>0</v>
      </c>
    </row>
    <row r="42" spans="1:7" ht="15.75">
      <c r="A42" s="1481"/>
      <c r="B42" s="1488" t="s">
        <v>1309</v>
      </c>
      <c r="C42" s="1483"/>
      <c r="D42" s="1484" t="s">
        <v>176</v>
      </c>
      <c r="E42" s="1484">
        <v>80</v>
      </c>
      <c r="F42" s="805"/>
      <c r="G42" s="47">
        <f t="shared" si="7"/>
        <v>0</v>
      </c>
    </row>
    <row r="43" spans="1:7" ht="15.75">
      <c r="A43" s="1481"/>
      <c r="B43" s="1488" t="s">
        <v>1314</v>
      </c>
      <c r="C43" s="1483"/>
      <c r="D43" s="1484" t="s">
        <v>176</v>
      </c>
      <c r="E43" s="1484">
        <v>140</v>
      </c>
      <c r="F43" s="805"/>
      <c r="G43" s="47">
        <f t="shared" si="7"/>
        <v>0</v>
      </c>
    </row>
    <row r="44" spans="1:7" ht="15.75">
      <c r="A44" s="1481"/>
      <c r="B44" s="1488" t="s">
        <v>1315</v>
      </c>
      <c r="C44" s="1483"/>
      <c r="D44" s="1484" t="s">
        <v>176</v>
      </c>
      <c r="E44" s="1484">
        <v>31</v>
      </c>
      <c r="F44" s="805"/>
      <c r="G44" s="47">
        <f t="shared" si="7"/>
        <v>0</v>
      </c>
    </row>
    <row r="45" spans="1:7" ht="15.75">
      <c r="A45" s="1481"/>
      <c r="B45" s="1488" t="s">
        <v>1316</v>
      </c>
      <c r="C45" s="1483"/>
      <c r="D45" s="1484" t="s">
        <v>176</v>
      </c>
      <c r="E45" s="1484">
        <v>55</v>
      </c>
      <c r="F45" s="805"/>
      <c r="G45" s="47">
        <f t="shared" si="7"/>
        <v>0</v>
      </c>
    </row>
    <row r="46" spans="1:7" ht="15.75">
      <c r="A46" s="1481"/>
      <c r="B46" s="1488" t="s">
        <v>1317</v>
      </c>
      <c r="C46" s="1483"/>
      <c r="D46" s="1484" t="s">
        <v>176</v>
      </c>
      <c r="E46" s="1484">
        <v>27</v>
      </c>
      <c r="F46" s="805"/>
      <c r="G46" s="47">
        <f t="shared" si="7"/>
        <v>0</v>
      </c>
    </row>
    <row r="47" spans="1:7" ht="15.75">
      <c r="A47" s="1481"/>
      <c r="B47" s="1488" t="s">
        <v>1318</v>
      </c>
      <c r="C47" s="1483"/>
      <c r="D47" s="1484" t="s">
        <v>176</v>
      </c>
      <c r="E47" s="1484">
        <v>8</v>
      </c>
      <c r="F47" s="805"/>
      <c r="G47" s="47">
        <f t="shared" si="7"/>
        <v>0</v>
      </c>
    </row>
    <row r="48" spans="1:7" ht="75">
      <c r="A48" s="1481" t="s">
        <v>984</v>
      </c>
      <c r="B48" s="1482" t="s">
        <v>1192</v>
      </c>
      <c r="C48" s="1500" t="s">
        <v>1322</v>
      </c>
      <c r="D48" s="1484" t="s">
        <v>1300</v>
      </c>
      <c r="E48" s="1484">
        <v>3</v>
      </c>
      <c r="F48" s="805"/>
      <c r="G48" s="47">
        <f t="shared" si="7"/>
        <v>0</v>
      </c>
    </row>
    <row r="49" spans="1:7" ht="135">
      <c r="A49" s="1481" t="s">
        <v>762</v>
      </c>
      <c r="B49" s="1482" t="s">
        <v>1303</v>
      </c>
      <c r="C49" s="1500" t="s">
        <v>1322</v>
      </c>
      <c r="D49" s="1484" t="s">
        <v>1300</v>
      </c>
      <c r="E49" s="1484">
        <v>3</v>
      </c>
      <c r="F49" s="805"/>
      <c r="G49" s="47">
        <f t="shared" si="7"/>
        <v>0</v>
      </c>
    </row>
    <row r="50" spans="1:7" ht="135.75">
      <c r="A50" s="1481" t="s">
        <v>987</v>
      </c>
      <c r="B50" s="1488" t="s">
        <v>1311</v>
      </c>
      <c r="C50" s="1500" t="s">
        <v>1322</v>
      </c>
      <c r="D50" s="1489"/>
      <c r="E50" s="1484"/>
      <c r="F50" s="1490"/>
      <c r="G50" s="1491"/>
    </row>
    <row r="51" spans="1:7" ht="15.75">
      <c r="A51" s="1481"/>
      <c r="B51" s="1488" t="s">
        <v>1312</v>
      </c>
      <c r="C51" s="1481"/>
      <c r="D51" s="1489" t="s">
        <v>176</v>
      </c>
      <c r="E51" s="1484">
        <v>152</v>
      </c>
      <c r="F51" s="805"/>
      <c r="G51" s="47">
        <f t="shared" ref="G51:G56" si="8">E51*F51</f>
        <v>0</v>
      </c>
    </row>
    <row r="52" spans="1:7" ht="15.75">
      <c r="A52" s="1481"/>
      <c r="B52" s="1488" t="s">
        <v>1313</v>
      </c>
      <c r="C52" s="1481"/>
      <c r="D52" s="1489" t="s">
        <v>176</v>
      </c>
      <c r="E52" s="1484">
        <v>75</v>
      </c>
      <c r="F52" s="805"/>
      <c r="G52" s="47">
        <f t="shared" si="8"/>
        <v>0</v>
      </c>
    </row>
    <row r="53" spans="1:7" ht="60">
      <c r="A53" s="1481" t="s">
        <v>1010</v>
      </c>
      <c r="B53" s="1482" t="s">
        <v>1193</v>
      </c>
      <c r="C53" s="1500" t="s">
        <v>1322</v>
      </c>
      <c r="D53" s="1489"/>
      <c r="E53" s="1484">
        <v>0.5</v>
      </c>
      <c r="F53" s="805"/>
      <c r="G53" s="47">
        <f t="shared" si="8"/>
        <v>0</v>
      </c>
    </row>
    <row r="54" spans="1:7" ht="90">
      <c r="A54" s="1481" t="s">
        <v>1012</v>
      </c>
      <c r="B54" s="1482" t="s">
        <v>1194</v>
      </c>
      <c r="C54" s="1500" t="s">
        <v>1322</v>
      </c>
      <c r="D54" s="32" t="s">
        <v>898</v>
      </c>
      <c r="E54" s="1484">
        <v>1</v>
      </c>
      <c r="F54" s="805"/>
      <c r="G54" s="47">
        <f t="shared" si="8"/>
        <v>0</v>
      </c>
    </row>
    <row r="55" spans="1:7" ht="105">
      <c r="A55" s="1481" t="s">
        <v>766</v>
      </c>
      <c r="B55" s="1488" t="s">
        <v>1195</v>
      </c>
      <c r="C55" s="1500" t="s">
        <v>1322</v>
      </c>
      <c r="D55" s="1484" t="s">
        <v>1300</v>
      </c>
      <c r="E55" s="1484">
        <v>2</v>
      </c>
      <c r="F55" s="805"/>
      <c r="G55" s="47">
        <f t="shared" si="8"/>
        <v>0</v>
      </c>
    </row>
    <row r="56" spans="1:7" ht="105">
      <c r="A56" s="1481" t="s">
        <v>1015</v>
      </c>
      <c r="B56" s="1488" t="s">
        <v>1196</v>
      </c>
      <c r="C56" s="1500" t="s">
        <v>1322</v>
      </c>
      <c r="D56" s="1484" t="s">
        <v>1300</v>
      </c>
      <c r="E56" s="1484">
        <v>4</v>
      </c>
      <c r="F56" s="805"/>
      <c r="G56" s="47">
        <f t="shared" si="8"/>
        <v>0</v>
      </c>
    </row>
    <row r="57" spans="1:7" ht="45">
      <c r="A57" s="1481" t="s">
        <v>1017</v>
      </c>
      <c r="B57" s="1488" t="s">
        <v>1197</v>
      </c>
      <c r="C57" s="1500" t="s">
        <v>1322</v>
      </c>
      <c r="D57" s="1484"/>
      <c r="E57" s="1484"/>
      <c r="F57" s="1485"/>
      <c r="G57" s="1486"/>
    </row>
    <row r="58" spans="1:7" ht="15.75">
      <c r="A58" s="1481"/>
      <c r="B58" s="1488" t="s">
        <v>1198</v>
      </c>
      <c r="C58" s="1483"/>
      <c r="D58" s="1484" t="s">
        <v>11</v>
      </c>
      <c r="E58" s="1484">
        <v>3</v>
      </c>
      <c r="F58" s="805"/>
      <c r="G58" s="47">
        <f t="shared" ref="G58:G66" si="9">E58*F58</f>
        <v>0</v>
      </c>
    </row>
    <row r="59" spans="1:7" ht="15.75">
      <c r="A59" s="1481"/>
      <c r="B59" s="1488" t="s">
        <v>1199</v>
      </c>
      <c r="C59" s="1483"/>
      <c r="D59" s="1484" t="s">
        <v>11</v>
      </c>
      <c r="E59" s="1484">
        <v>7</v>
      </c>
      <c r="F59" s="805"/>
      <c r="G59" s="47">
        <f t="shared" si="9"/>
        <v>0</v>
      </c>
    </row>
    <row r="60" spans="1:7" ht="15.75">
      <c r="A60" s="1481"/>
      <c r="B60" s="1488" t="s">
        <v>1200</v>
      </c>
      <c r="C60" s="1483"/>
      <c r="D60" s="1484" t="s">
        <v>11</v>
      </c>
      <c r="E60" s="1484">
        <v>6</v>
      </c>
      <c r="F60" s="805"/>
      <c r="G60" s="47">
        <f t="shared" si="9"/>
        <v>0</v>
      </c>
    </row>
    <row r="61" spans="1:7" ht="15.75">
      <c r="A61" s="1481"/>
      <c r="B61" s="1488" t="s">
        <v>1201</v>
      </c>
      <c r="C61" s="1483"/>
      <c r="D61" s="1484" t="s">
        <v>11</v>
      </c>
      <c r="E61" s="1484">
        <v>18</v>
      </c>
      <c r="F61" s="805"/>
      <c r="G61" s="47">
        <f t="shared" si="9"/>
        <v>0</v>
      </c>
    </row>
    <row r="62" spans="1:7" ht="15.75">
      <c r="A62" s="1481"/>
      <c r="B62" s="1488" t="s">
        <v>1202</v>
      </c>
      <c r="C62" s="1483"/>
      <c r="D62" s="1484" t="s">
        <v>11</v>
      </c>
      <c r="E62" s="1484">
        <v>11</v>
      </c>
      <c r="F62" s="805"/>
      <c r="G62" s="47">
        <f t="shared" si="9"/>
        <v>0</v>
      </c>
    </row>
    <row r="63" spans="1:7" ht="15.75">
      <c r="A63" s="1481"/>
      <c r="B63" s="1488" t="s">
        <v>1203</v>
      </c>
      <c r="C63" s="1483"/>
      <c r="D63" s="1484" t="s">
        <v>11</v>
      </c>
      <c r="E63" s="1484">
        <v>8</v>
      </c>
      <c r="F63" s="805"/>
      <c r="G63" s="47">
        <f t="shared" si="9"/>
        <v>0</v>
      </c>
    </row>
    <row r="64" spans="1:7" ht="180">
      <c r="A64" s="1481" t="s">
        <v>1019</v>
      </c>
      <c r="B64" s="1488" t="s">
        <v>1305</v>
      </c>
      <c r="C64" s="1500" t="s">
        <v>1322</v>
      </c>
      <c r="D64" s="1484" t="s">
        <v>1300</v>
      </c>
      <c r="E64" s="1484">
        <v>4</v>
      </c>
      <c r="F64" s="805"/>
      <c r="G64" s="47">
        <f t="shared" si="9"/>
        <v>0</v>
      </c>
    </row>
    <row r="65" spans="1:7" ht="150">
      <c r="A65" s="1481" t="s">
        <v>1021</v>
      </c>
      <c r="B65" s="1488" t="s">
        <v>1306</v>
      </c>
      <c r="C65" s="1500" t="s">
        <v>1322</v>
      </c>
      <c r="D65" s="1484" t="s">
        <v>1300</v>
      </c>
      <c r="E65" s="1484">
        <v>1</v>
      </c>
      <c r="F65" s="805"/>
      <c r="G65" s="47">
        <f t="shared" si="9"/>
        <v>0</v>
      </c>
    </row>
    <row r="66" spans="1:7" ht="165">
      <c r="A66" s="1481" t="s">
        <v>1023</v>
      </c>
      <c r="B66" s="1488" t="s">
        <v>1307</v>
      </c>
      <c r="C66" s="1500" t="s">
        <v>1322</v>
      </c>
      <c r="D66" s="32" t="s">
        <v>898</v>
      </c>
      <c r="E66" s="1484">
        <v>1</v>
      </c>
      <c r="F66" s="805"/>
      <c r="G66" s="47">
        <f t="shared" si="9"/>
        <v>0</v>
      </c>
    </row>
    <row r="67" spans="1:7" ht="15.75">
      <c r="A67" s="25"/>
      <c r="B67" s="31"/>
      <c r="C67" s="888"/>
      <c r="D67" s="32"/>
      <c r="E67" s="46"/>
      <c r="F67" s="47"/>
      <c r="G67" s="47"/>
    </row>
    <row r="68" spans="1:7" s="1499" customFormat="1" ht="18.75">
      <c r="A68" s="1493"/>
      <c r="B68" s="1494" t="s">
        <v>1319</v>
      </c>
      <c r="C68" s="1494"/>
      <c r="D68" s="1495"/>
      <c r="E68" s="1496"/>
      <c r="F68" s="1497"/>
      <c r="G68" s="1498">
        <f>SUM(G6:G67)</f>
        <v>0</v>
      </c>
    </row>
    <row r="69" spans="1:7" ht="15.75">
      <c r="A69" s="25"/>
    </row>
  </sheetData>
  <sheetProtection sheet="1" objects="1" scenarios="1" formatRows="0" selectLockedCells="1"/>
  <pageMargins left="0.78749999999999998" right="0.39374999999999999" top="0.73406249999999995" bottom="0.63124999999999998" header="0.39374999999999999" footer="0.39374999999999999"/>
  <pageSetup paperSize="9" scale="86" orientation="portrait" r:id="rId1"/>
  <headerFooter alignWithMargins="0">
    <oddHeader>&amp;L&amp;"Times New Roman,Standard"Construction of BCP Kotroman&amp;R&amp;"Times New Roman,Standard"&amp;10Bill of Quantities</oddHeader>
    <oddFooter>&amp;R&amp;"Times New Roman,Regular"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1"/>
  <sheetViews>
    <sheetView showZeros="0" tabSelected="1" view="pageBreakPreview" zoomScale="90" zoomScaleNormal="100" zoomScaleSheetLayoutView="90" workbookViewId="0">
      <selection activeCell="G9" sqref="G9"/>
    </sheetView>
  </sheetViews>
  <sheetFormatPr baseColWidth="10" defaultColWidth="9.140625" defaultRowHeight="15"/>
  <cols>
    <col min="1" max="1" width="8" style="735" customWidth="1"/>
    <col min="2" max="2" width="35.42578125" style="736" customWidth="1"/>
    <col min="3" max="3" width="8.42578125" style="736" bestFit="1" customWidth="1"/>
    <col min="4" max="4" width="10.7109375" style="737" customWidth="1"/>
    <col min="5" max="5" width="7.85546875" style="738" customWidth="1"/>
    <col min="6" max="6" width="11.42578125" style="739" customWidth="1"/>
    <col min="7" max="7" width="13.42578125" style="740" customWidth="1"/>
    <col min="8" max="8" width="16.5703125" style="741" customWidth="1"/>
    <col min="9" max="16384" width="9.140625" style="742"/>
  </cols>
  <sheetData>
    <row r="1" spans="1:8" ht="18.75">
      <c r="B1" s="1106" t="s">
        <v>1165</v>
      </c>
      <c r="C1" s="1106"/>
    </row>
    <row r="2" spans="1:8" ht="17.25" customHeight="1">
      <c r="A2" s="742"/>
      <c r="B2" s="1106" t="s">
        <v>839</v>
      </c>
      <c r="C2" s="1106"/>
      <c r="D2" s="704"/>
      <c r="E2" s="704"/>
      <c r="F2" s="704"/>
      <c r="G2" s="704"/>
      <c r="H2" s="704"/>
    </row>
    <row r="3" spans="1:8">
      <c r="B3" s="743"/>
      <c r="C3" s="743"/>
      <c r="D3" s="744"/>
      <c r="E3" s="745"/>
      <c r="F3" s="746"/>
      <c r="G3" s="747"/>
      <c r="H3" s="748"/>
    </row>
    <row r="4" spans="1:8" ht="36" customHeight="1">
      <c r="A4" s="809" t="s">
        <v>891</v>
      </c>
      <c r="B4" s="1554" t="s">
        <v>892</v>
      </c>
      <c r="C4" s="1555"/>
      <c r="D4" s="1556"/>
      <c r="E4" s="768" t="s">
        <v>1</v>
      </c>
      <c r="F4" s="769" t="s">
        <v>893</v>
      </c>
      <c r="G4" s="769" t="s">
        <v>1232</v>
      </c>
      <c r="H4" s="769" t="s">
        <v>1233</v>
      </c>
    </row>
    <row r="5" spans="1:8" s="749" customFormat="1" ht="15.75">
      <c r="A5" s="707"/>
      <c r="B5" s="707"/>
      <c r="C5" s="707"/>
      <c r="D5" s="707"/>
      <c r="E5" s="707"/>
      <c r="F5" s="707"/>
      <c r="G5" s="707"/>
      <c r="H5" s="707"/>
    </row>
    <row r="6" spans="1:8" s="749" customFormat="1" ht="15.75">
      <c r="A6" s="898"/>
      <c r="B6" s="900" t="s">
        <v>1231</v>
      </c>
      <c r="C6" s="900"/>
      <c r="D6" s="897" t="s">
        <v>1279</v>
      </c>
      <c r="E6" s="897"/>
      <c r="F6" s="898"/>
      <c r="G6" s="898"/>
      <c r="H6" s="899"/>
    </row>
    <row r="7" spans="1:8" s="749" customFormat="1" ht="15.75">
      <c r="A7" s="840">
        <v>1.1000000000000001</v>
      </c>
      <c r="B7" s="1176" t="s">
        <v>857</v>
      </c>
      <c r="C7" s="1177"/>
      <c r="D7" s="1178"/>
      <c r="E7" s="1182"/>
      <c r="F7" s="1178"/>
      <c r="G7" s="841"/>
      <c r="H7" s="842"/>
    </row>
    <row r="8" spans="1:8" s="750" customFormat="1" ht="15.75">
      <c r="A8" s="707" t="s">
        <v>782</v>
      </c>
      <c r="B8" s="711" t="s">
        <v>1166</v>
      </c>
      <c r="C8" s="711"/>
      <c r="D8" s="711"/>
      <c r="E8" s="711"/>
      <c r="F8" s="711"/>
      <c r="G8" s="711"/>
      <c r="H8" s="711"/>
    </row>
    <row r="9" spans="1:8" s="750" customFormat="1" ht="15.75">
      <c r="A9" s="831" t="s">
        <v>783</v>
      </c>
      <c r="B9" s="711" t="s">
        <v>858</v>
      </c>
      <c r="C9" s="711"/>
      <c r="D9" s="711" t="s">
        <v>784</v>
      </c>
      <c r="E9" s="709" t="s">
        <v>11</v>
      </c>
      <c r="F9" s="759">
        <v>4</v>
      </c>
      <c r="G9" s="802"/>
      <c r="H9" s="712">
        <f>F9*G9</f>
        <v>0</v>
      </c>
    </row>
    <row r="10" spans="1:8" s="750" customFormat="1" ht="15.75">
      <c r="A10" s="707"/>
      <c r="B10" s="711"/>
      <c r="C10" s="711"/>
      <c r="D10" s="711"/>
      <c r="E10" s="709"/>
      <c r="F10" s="759"/>
      <c r="G10" s="711"/>
      <c r="H10" s="712"/>
    </row>
    <row r="11" spans="1:8" s="750" customFormat="1" ht="15.75">
      <c r="A11" s="707" t="s">
        <v>785</v>
      </c>
      <c r="B11" s="711" t="s">
        <v>786</v>
      </c>
      <c r="C11" s="711"/>
      <c r="D11" s="711"/>
      <c r="E11" s="709"/>
      <c r="F11" s="759"/>
      <c r="G11" s="711"/>
      <c r="H11" s="712"/>
    </row>
    <row r="12" spans="1:8" ht="18" customHeight="1">
      <c r="A12" s="831" t="s">
        <v>787</v>
      </c>
      <c r="B12" s="711" t="s">
        <v>859</v>
      </c>
      <c r="C12" s="711"/>
      <c r="D12" s="711" t="s">
        <v>788</v>
      </c>
      <c r="E12" s="709" t="s">
        <v>11</v>
      </c>
      <c r="F12" s="759">
        <v>7</v>
      </c>
      <c r="G12" s="802"/>
      <c r="H12" s="712">
        <f>F12*G12</f>
        <v>0</v>
      </c>
    </row>
    <row r="13" spans="1:8" ht="18" customHeight="1">
      <c r="A13" s="831" t="s">
        <v>789</v>
      </c>
      <c r="B13" s="711" t="s">
        <v>860</v>
      </c>
      <c r="C13" s="711"/>
      <c r="D13" s="711" t="s">
        <v>784</v>
      </c>
      <c r="E13" s="709" t="s">
        <v>11</v>
      </c>
      <c r="F13" s="759">
        <v>24</v>
      </c>
      <c r="G13" s="802"/>
      <c r="H13" s="712">
        <f>F13*G13</f>
        <v>0</v>
      </c>
    </row>
    <row r="14" spans="1:8" ht="18" customHeight="1">
      <c r="A14" s="707"/>
      <c r="B14" s="711"/>
      <c r="C14" s="711"/>
      <c r="D14" s="711"/>
      <c r="E14" s="709"/>
      <c r="F14" s="759"/>
      <c r="G14" s="711"/>
      <c r="H14" s="712"/>
    </row>
    <row r="15" spans="1:8" s="750" customFormat="1" ht="15.75">
      <c r="A15" s="707" t="s">
        <v>790</v>
      </c>
      <c r="B15" s="711" t="s">
        <v>791</v>
      </c>
      <c r="C15" s="711"/>
      <c r="D15" s="711"/>
      <c r="E15" s="709"/>
      <c r="F15" s="759"/>
      <c r="G15" s="711"/>
      <c r="H15" s="712"/>
    </row>
    <row r="16" spans="1:8" s="750" customFormat="1" ht="15.75">
      <c r="A16" s="831" t="s">
        <v>792</v>
      </c>
      <c r="B16" s="711" t="s">
        <v>861</v>
      </c>
      <c r="C16" s="711"/>
      <c r="D16" s="711" t="s">
        <v>784</v>
      </c>
      <c r="E16" s="709" t="s">
        <v>11</v>
      </c>
      <c r="F16" s="759">
        <v>3</v>
      </c>
      <c r="G16" s="802"/>
      <c r="H16" s="712">
        <f t="shared" ref="H16:H24" si="0">F16*G16</f>
        <v>0</v>
      </c>
    </row>
    <row r="17" spans="1:8" ht="15.75">
      <c r="A17" s="831" t="s">
        <v>793</v>
      </c>
      <c r="B17" s="711" t="s">
        <v>862</v>
      </c>
      <c r="C17" s="711"/>
      <c r="D17" s="711" t="s">
        <v>784</v>
      </c>
      <c r="E17" s="709" t="s">
        <v>11</v>
      </c>
      <c r="F17" s="759">
        <v>1</v>
      </c>
      <c r="G17" s="802"/>
      <c r="H17" s="712">
        <f t="shared" si="0"/>
        <v>0</v>
      </c>
    </row>
    <row r="18" spans="1:8" ht="15.75">
      <c r="A18" s="831" t="s">
        <v>794</v>
      </c>
      <c r="B18" s="711" t="s">
        <v>863</v>
      </c>
      <c r="C18" s="711"/>
      <c r="D18" s="711" t="s">
        <v>784</v>
      </c>
      <c r="E18" s="709" t="s">
        <v>11</v>
      </c>
      <c r="F18" s="759">
        <v>3</v>
      </c>
      <c r="G18" s="802"/>
      <c r="H18" s="712">
        <f t="shared" si="0"/>
        <v>0</v>
      </c>
    </row>
    <row r="19" spans="1:8" ht="15.75">
      <c r="A19" s="831" t="s">
        <v>795</v>
      </c>
      <c r="B19" s="711" t="s">
        <v>864</v>
      </c>
      <c r="C19" s="711"/>
      <c r="D19" s="711" t="s">
        <v>784</v>
      </c>
      <c r="E19" s="709" t="s">
        <v>11</v>
      </c>
      <c r="F19" s="759">
        <v>1</v>
      </c>
      <c r="G19" s="802"/>
      <c r="H19" s="712">
        <f t="shared" si="0"/>
        <v>0</v>
      </c>
    </row>
    <row r="20" spans="1:8" ht="15.75">
      <c r="A20" s="831" t="s">
        <v>796</v>
      </c>
      <c r="B20" s="711" t="s">
        <v>865</v>
      </c>
      <c r="C20" s="711"/>
      <c r="D20" s="711" t="s">
        <v>784</v>
      </c>
      <c r="E20" s="709" t="s">
        <v>11</v>
      </c>
      <c r="F20" s="759">
        <v>1</v>
      </c>
      <c r="G20" s="802"/>
      <c r="H20" s="712">
        <f t="shared" si="0"/>
        <v>0</v>
      </c>
    </row>
    <row r="21" spans="1:8" ht="15.75">
      <c r="A21" s="831" t="s">
        <v>797</v>
      </c>
      <c r="B21" s="711" t="s">
        <v>866</v>
      </c>
      <c r="C21" s="711"/>
      <c r="D21" s="711" t="s">
        <v>784</v>
      </c>
      <c r="E21" s="709" t="s">
        <v>11</v>
      </c>
      <c r="F21" s="759">
        <v>4</v>
      </c>
      <c r="G21" s="802"/>
      <c r="H21" s="712">
        <f t="shared" si="0"/>
        <v>0</v>
      </c>
    </row>
    <row r="22" spans="1:8" ht="15.75">
      <c r="A22" s="831" t="s">
        <v>798</v>
      </c>
      <c r="B22" s="711" t="s">
        <v>867</v>
      </c>
      <c r="C22" s="711"/>
      <c r="D22" s="711" t="s">
        <v>784</v>
      </c>
      <c r="E22" s="709" t="s">
        <v>11</v>
      </c>
      <c r="F22" s="759">
        <v>1</v>
      </c>
      <c r="G22" s="802"/>
      <c r="H22" s="712">
        <f t="shared" si="0"/>
        <v>0</v>
      </c>
    </row>
    <row r="23" spans="1:8" ht="18.75">
      <c r="A23" s="831" t="s">
        <v>799</v>
      </c>
      <c r="B23" s="711" t="s">
        <v>868</v>
      </c>
      <c r="C23" s="711"/>
      <c r="D23" s="711" t="s">
        <v>784</v>
      </c>
      <c r="E23" s="709" t="s">
        <v>854</v>
      </c>
      <c r="F23" s="759">
        <v>2.5499999999999998</v>
      </c>
      <c r="G23" s="802"/>
      <c r="H23" s="712">
        <f t="shared" si="0"/>
        <v>0</v>
      </c>
    </row>
    <row r="24" spans="1:8" ht="18.75">
      <c r="A24" s="831" t="s">
        <v>800</v>
      </c>
      <c r="B24" s="711" t="s">
        <v>869</v>
      </c>
      <c r="C24" s="711"/>
      <c r="D24" s="711" t="s">
        <v>784</v>
      </c>
      <c r="E24" s="709" t="s">
        <v>854</v>
      </c>
      <c r="F24" s="759">
        <v>3.75</v>
      </c>
      <c r="G24" s="802"/>
      <c r="H24" s="712">
        <f t="shared" si="0"/>
        <v>0</v>
      </c>
    </row>
    <row r="25" spans="1:8" ht="15.75">
      <c r="A25" s="707"/>
      <c r="B25" s="711"/>
      <c r="C25" s="711"/>
      <c r="D25" s="711"/>
      <c r="E25" s="709"/>
      <c r="F25" s="759"/>
      <c r="G25" s="711"/>
      <c r="H25" s="711"/>
    </row>
    <row r="26" spans="1:8" ht="15.75">
      <c r="A26" s="707" t="s">
        <v>801</v>
      </c>
      <c r="B26" s="711" t="s">
        <v>802</v>
      </c>
      <c r="C26" s="711"/>
      <c r="D26" s="711"/>
      <c r="E26" s="709"/>
      <c r="F26" s="759"/>
      <c r="G26" s="711"/>
      <c r="H26" s="711"/>
    </row>
    <row r="27" spans="1:8" ht="15.75">
      <c r="A27" s="831" t="s">
        <v>803</v>
      </c>
      <c r="B27" s="711" t="s">
        <v>804</v>
      </c>
      <c r="C27" s="711"/>
      <c r="D27" s="711" t="s">
        <v>784</v>
      </c>
      <c r="E27" s="709" t="s">
        <v>11</v>
      </c>
      <c r="F27" s="759">
        <v>2</v>
      </c>
      <c r="G27" s="802"/>
      <c r="H27" s="712">
        <f>F27*G27</f>
        <v>0</v>
      </c>
    </row>
    <row r="28" spans="1:8" ht="15.75">
      <c r="A28" s="831" t="s">
        <v>805</v>
      </c>
      <c r="B28" s="711" t="s">
        <v>806</v>
      </c>
      <c r="C28" s="711"/>
      <c r="D28" s="711" t="s">
        <v>784</v>
      </c>
      <c r="E28" s="709" t="s">
        <v>11</v>
      </c>
      <c r="F28" s="759">
        <v>3</v>
      </c>
      <c r="G28" s="802"/>
      <c r="H28" s="712">
        <f>F28*G28</f>
        <v>0</v>
      </c>
    </row>
    <row r="29" spans="1:8" ht="15.75">
      <c r="A29" s="831" t="s">
        <v>807</v>
      </c>
      <c r="B29" s="711" t="s">
        <v>808</v>
      </c>
      <c r="C29" s="711"/>
      <c r="D29" s="711" t="s">
        <v>784</v>
      </c>
      <c r="E29" s="709" t="s">
        <v>11</v>
      </c>
      <c r="F29" s="759">
        <v>2</v>
      </c>
      <c r="G29" s="802"/>
      <c r="H29" s="712">
        <f>F29*G29</f>
        <v>0</v>
      </c>
    </row>
    <row r="30" spans="1:8" ht="15.75">
      <c r="A30" s="707"/>
      <c r="B30" s="711"/>
      <c r="C30" s="711"/>
      <c r="D30" s="711"/>
      <c r="E30" s="709"/>
      <c r="F30" s="759"/>
      <c r="G30" s="711"/>
      <c r="H30" s="712"/>
    </row>
    <row r="31" spans="1:8" ht="15.75">
      <c r="A31" s="707" t="s">
        <v>809</v>
      </c>
      <c r="B31" s="711" t="s">
        <v>870</v>
      </c>
      <c r="C31" s="711"/>
      <c r="D31" s="711"/>
      <c r="E31" s="709"/>
      <c r="F31" s="711"/>
      <c r="G31" s="711"/>
      <c r="H31" s="712"/>
    </row>
    <row r="32" spans="1:8" ht="15.75">
      <c r="A32" s="711"/>
      <c r="B32" s="711" t="s">
        <v>810</v>
      </c>
      <c r="C32" s="711"/>
      <c r="D32" s="711"/>
      <c r="E32" s="709" t="s">
        <v>11</v>
      </c>
      <c r="F32" s="759">
        <v>6</v>
      </c>
      <c r="G32" s="802"/>
      <c r="H32" s="712">
        <f>F32*G32</f>
        <v>0</v>
      </c>
    </row>
    <row r="33" spans="1:8" ht="15.75">
      <c r="A33" s="711"/>
      <c r="B33" s="711"/>
      <c r="C33" s="711"/>
      <c r="D33" s="711"/>
      <c r="E33" s="709"/>
      <c r="F33" s="711"/>
      <c r="G33" s="711"/>
      <c r="H33" s="712"/>
    </row>
    <row r="34" spans="1:8" ht="15.75">
      <c r="A34" s="707" t="s">
        <v>811</v>
      </c>
      <c r="B34" s="711" t="s">
        <v>871</v>
      </c>
      <c r="C34" s="711"/>
      <c r="D34" s="711"/>
      <c r="E34" s="709"/>
      <c r="F34" s="711"/>
      <c r="G34" s="711"/>
      <c r="H34" s="712"/>
    </row>
    <row r="35" spans="1:8" ht="15.75">
      <c r="A35" s="831" t="s">
        <v>812</v>
      </c>
      <c r="B35" s="711" t="s">
        <v>813</v>
      </c>
      <c r="C35" s="711"/>
      <c r="D35" s="711" t="s">
        <v>784</v>
      </c>
      <c r="E35" s="709" t="s">
        <v>11</v>
      </c>
      <c r="F35" s="759">
        <v>3</v>
      </c>
      <c r="G35" s="802"/>
      <c r="H35" s="712">
        <f>F35*G35</f>
        <v>0</v>
      </c>
    </row>
    <row r="36" spans="1:8" ht="15.75">
      <c r="A36" s="831" t="s">
        <v>814</v>
      </c>
      <c r="B36" s="711" t="s">
        <v>815</v>
      </c>
      <c r="C36" s="711"/>
      <c r="D36" s="711" t="s">
        <v>784</v>
      </c>
      <c r="E36" s="709" t="s">
        <v>11</v>
      </c>
      <c r="F36" s="759">
        <v>1</v>
      </c>
      <c r="G36" s="802"/>
      <c r="H36" s="712">
        <f>F36*G36</f>
        <v>0</v>
      </c>
    </row>
    <row r="37" spans="1:8" ht="15.75">
      <c r="A37" s="831" t="s">
        <v>816</v>
      </c>
      <c r="B37" s="711" t="s">
        <v>817</v>
      </c>
      <c r="C37" s="711"/>
      <c r="D37" s="711" t="s">
        <v>784</v>
      </c>
      <c r="E37" s="709" t="s">
        <v>11</v>
      </c>
      <c r="F37" s="759">
        <v>1</v>
      </c>
      <c r="G37" s="802"/>
      <c r="H37" s="712">
        <f>F37*G37</f>
        <v>0</v>
      </c>
    </row>
    <row r="38" spans="1:8" ht="15.75">
      <c r="A38" s="707"/>
      <c r="B38" s="711"/>
      <c r="C38" s="711"/>
      <c r="D38" s="711"/>
      <c r="E38" s="709"/>
      <c r="F38" s="759"/>
      <c r="G38" s="711"/>
      <c r="H38" s="712"/>
    </row>
    <row r="39" spans="1:8" s="749" customFormat="1" ht="15.75">
      <c r="A39" s="762">
        <v>1.2</v>
      </c>
      <c r="B39" s="1546" t="s">
        <v>872</v>
      </c>
      <c r="C39" s="1549"/>
      <c r="D39" s="1549"/>
      <c r="E39" s="1549"/>
      <c r="F39" s="1549"/>
      <c r="G39" s="1550"/>
      <c r="H39" s="712"/>
    </row>
    <row r="40" spans="1:8" ht="15.75">
      <c r="A40" s="707" t="s">
        <v>818</v>
      </c>
      <c r="B40" s="1551" t="s">
        <v>873</v>
      </c>
      <c r="C40" s="1552"/>
      <c r="D40" s="1552"/>
      <c r="E40" s="1552"/>
      <c r="F40" s="1552"/>
      <c r="G40" s="1553"/>
      <c r="H40" s="712"/>
    </row>
    <row r="41" spans="1:8" ht="15.75">
      <c r="A41" s="707" t="s">
        <v>819</v>
      </c>
      <c r="B41" s="711" t="s">
        <v>820</v>
      </c>
      <c r="C41" s="711"/>
      <c r="D41" s="711"/>
      <c r="E41" s="709" t="s">
        <v>11</v>
      </c>
      <c r="F41" s="759">
        <v>35</v>
      </c>
      <c r="G41" s="802"/>
      <c r="H41" s="712">
        <f>F41*G41</f>
        <v>0</v>
      </c>
    </row>
    <row r="42" spans="1:8" ht="15.75">
      <c r="A42" s="707" t="s">
        <v>821</v>
      </c>
      <c r="B42" s="711" t="s">
        <v>822</v>
      </c>
      <c r="C42" s="711"/>
      <c r="D42" s="711"/>
      <c r="E42" s="709" t="s">
        <v>11</v>
      </c>
      <c r="F42" s="759">
        <v>2</v>
      </c>
      <c r="G42" s="802"/>
      <c r="H42" s="712">
        <f>F42*G42</f>
        <v>0</v>
      </c>
    </row>
    <row r="43" spans="1:8" ht="15.75" customHeight="1">
      <c r="A43" s="707" t="s">
        <v>823</v>
      </c>
      <c r="B43" s="1557" t="s">
        <v>824</v>
      </c>
      <c r="C43" s="1557"/>
      <c r="D43" s="1558"/>
      <c r="E43" s="709" t="s">
        <v>11</v>
      </c>
      <c r="F43" s="759">
        <v>2</v>
      </c>
      <c r="G43" s="802"/>
      <c r="H43" s="712">
        <f>F43*G43</f>
        <v>0</v>
      </c>
    </row>
    <row r="44" spans="1:8" ht="15.75" customHeight="1">
      <c r="A44" s="707" t="s">
        <v>825</v>
      </c>
      <c r="B44" s="1559" t="s">
        <v>826</v>
      </c>
      <c r="C44" s="1560"/>
      <c r="D44" s="1561"/>
      <c r="E44" s="709" t="s">
        <v>11</v>
      </c>
      <c r="F44" s="759">
        <v>2</v>
      </c>
      <c r="G44" s="802"/>
      <c r="H44" s="712">
        <f>F44*G44</f>
        <v>0</v>
      </c>
    </row>
    <row r="45" spans="1:8" ht="15.75">
      <c r="A45" s="628"/>
      <c r="B45" s="635" t="s">
        <v>890</v>
      </c>
      <c r="C45" s="1155"/>
      <c r="D45" s="628"/>
      <c r="E45" s="630"/>
      <c r="F45" s="631"/>
      <c r="G45" s="632"/>
      <c r="H45" s="659">
        <f>SUM(H8:H44)</f>
        <v>0</v>
      </c>
    </row>
    <row r="46" spans="1:8" ht="15.75">
      <c r="A46" s="711"/>
      <c r="B46" s="711"/>
      <c r="C46" s="711"/>
      <c r="D46" s="711"/>
      <c r="E46" s="711"/>
      <c r="F46" s="711"/>
      <c r="G46" s="711"/>
      <c r="H46" s="711"/>
    </row>
    <row r="47" spans="1:8" s="749" customFormat="1" ht="15.75">
      <c r="A47" s="898"/>
      <c r="B47" s="900" t="s">
        <v>1270</v>
      </c>
      <c r="C47" s="900"/>
      <c r="D47" s="1187"/>
      <c r="E47" s="1187"/>
      <c r="F47" s="898"/>
      <c r="G47" s="898"/>
      <c r="H47" s="899"/>
    </row>
    <row r="48" spans="1:8" s="749" customFormat="1" ht="15.75">
      <c r="A48" s="836">
        <v>2.1</v>
      </c>
      <c r="B48" s="1183" t="s">
        <v>874</v>
      </c>
      <c r="C48" s="1184"/>
      <c r="D48" s="1185"/>
      <c r="E48" s="1185"/>
      <c r="F48" s="1185"/>
      <c r="G48" s="1186"/>
      <c r="H48" s="712"/>
    </row>
    <row r="49" spans="1:8" s="751" customFormat="1" ht="18.75" customHeight="1">
      <c r="A49" s="707" t="s">
        <v>827</v>
      </c>
      <c r="B49" s="1542" t="s">
        <v>828</v>
      </c>
      <c r="C49" s="1542"/>
      <c r="D49" s="1542"/>
      <c r="E49" s="709" t="s">
        <v>854</v>
      </c>
      <c r="F49" s="759">
        <v>281.7</v>
      </c>
      <c r="G49" s="802"/>
      <c r="H49" s="712">
        <f>F49*G49</f>
        <v>0</v>
      </c>
    </row>
    <row r="50" spans="1:8" s="751" customFormat="1" ht="18.75">
      <c r="A50" s="707" t="s">
        <v>829</v>
      </c>
      <c r="B50" s="1542" t="s">
        <v>830</v>
      </c>
      <c r="C50" s="1542"/>
      <c r="D50" s="1542"/>
      <c r="E50" s="709" t="s">
        <v>854</v>
      </c>
      <c r="F50" s="759">
        <v>589.01</v>
      </c>
      <c r="G50" s="802"/>
      <c r="H50" s="712">
        <f>F50*G50</f>
        <v>0</v>
      </c>
    </row>
    <row r="51" spans="1:8" s="751" customFormat="1" ht="18.75">
      <c r="A51" s="707" t="s">
        <v>831</v>
      </c>
      <c r="B51" s="1542" t="s">
        <v>832</v>
      </c>
      <c r="C51" s="1542"/>
      <c r="D51" s="1542"/>
      <c r="E51" s="709" t="s">
        <v>854</v>
      </c>
      <c r="F51" s="759">
        <v>32.200000000000003</v>
      </c>
      <c r="G51" s="802"/>
      <c r="H51" s="712">
        <f>F51*G51</f>
        <v>0</v>
      </c>
    </row>
    <row r="52" spans="1:8" s="751" customFormat="1" ht="15.75">
      <c r="A52" s="707"/>
      <c r="B52" s="834"/>
      <c r="C52" s="1154"/>
      <c r="D52" s="834"/>
      <c r="E52" s="709"/>
      <c r="F52" s="759"/>
      <c r="G52" s="834"/>
      <c r="H52" s="712"/>
    </row>
    <row r="53" spans="1:8" s="749" customFormat="1" ht="15.75">
      <c r="A53" s="837">
        <v>2.2000000000000002</v>
      </c>
      <c r="B53" s="838" t="s">
        <v>876</v>
      </c>
      <c r="C53" s="838"/>
      <c r="D53" s="833"/>
      <c r="E53" s="709"/>
      <c r="F53" s="759"/>
      <c r="G53" s="834"/>
      <c r="H53" s="712"/>
    </row>
    <row r="54" spans="1:8" ht="18.75">
      <c r="A54" s="707" t="s">
        <v>833</v>
      </c>
      <c r="B54" s="1542" t="s">
        <v>877</v>
      </c>
      <c r="C54" s="1542"/>
      <c r="D54" s="1542"/>
      <c r="E54" s="709" t="s">
        <v>854</v>
      </c>
      <c r="F54" s="759">
        <v>15</v>
      </c>
      <c r="G54" s="802"/>
      <c r="H54" s="712">
        <f>F54*G54</f>
        <v>0</v>
      </c>
    </row>
    <row r="55" spans="1:8" ht="15.75">
      <c r="A55" s="707"/>
      <c r="B55" s="834"/>
      <c r="C55" s="1154"/>
      <c r="D55" s="834"/>
      <c r="E55" s="709"/>
      <c r="F55" s="759"/>
      <c r="G55" s="834"/>
      <c r="H55" s="712"/>
    </row>
    <row r="56" spans="1:8" ht="15.75">
      <c r="A56" s="837" t="s">
        <v>855</v>
      </c>
      <c r="B56" s="1550" t="s">
        <v>878</v>
      </c>
      <c r="C56" s="1549"/>
      <c r="D56" s="1546"/>
      <c r="E56" s="709"/>
      <c r="F56" s="759"/>
      <c r="G56" s="834"/>
      <c r="H56" s="712"/>
    </row>
    <row r="57" spans="1:8" ht="18.75">
      <c r="A57" s="707" t="s">
        <v>834</v>
      </c>
      <c r="B57" s="839" t="s">
        <v>879</v>
      </c>
      <c r="C57" s="839"/>
      <c r="D57" s="834"/>
      <c r="E57" s="709" t="s">
        <v>854</v>
      </c>
      <c r="F57" s="759">
        <v>48</v>
      </c>
      <c r="G57" s="802"/>
      <c r="H57" s="712">
        <f>F57*G57</f>
        <v>0</v>
      </c>
    </row>
    <row r="58" spans="1:8" ht="15.75">
      <c r="A58" s="707"/>
      <c r="B58" s="834"/>
      <c r="C58" s="1154"/>
      <c r="D58" s="834"/>
      <c r="E58" s="709"/>
      <c r="F58" s="759"/>
      <c r="G58" s="834"/>
      <c r="H58" s="712"/>
    </row>
    <row r="59" spans="1:8" ht="15.75">
      <c r="A59" s="837" t="s">
        <v>52</v>
      </c>
      <c r="B59" s="1544" t="s">
        <v>880</v>
      </c>
      <c r="C59" s="1545"/>
      <c r="D59" s="1546"/>
      <c r="E59" s="709"/>
      <c r="F59" s="759"/>
      <c r="G59" s="834"/>
      <c r="H59" s="712"/>
    </row>
    <row r="60" spans="1:8" ht="15.75">
      <c r="A60" s="707" t="s">
        <v>835</v>
      </c>
      <c r="B60" s="1541" t="s">
        <v>881</v>
      </c>
      <c r="C60" s="1542"/>
      <c r="D60" s="1543"/>
      <c r="E60" s="709" t="s">
        <v>176</v>
      </c>
      <c r="F60" s="759">
        <v>23</v>
      </c>
      <c r="G60" s="802"/>
      <c r="H60" s="712">
        <f>F60*G60</f>
        <v>0</v>
      </c>
    </row>
    <row r="61" spans="1:8" ht="15.75">
      <c r="A61" s="707"/>
      <c r="B61" s="1542" t="s">
        <v>836</v>
      </c>
      <c r="C61" s="1542"/>
      <c r="D61" s="1542"/>
      <c r="E61" s="709" t="s">
        <v>176</v>
      </c>
      <c r="F61" s="759">
        <v>16</v>
      </c>
      <c r="G61" s="802"/>
      <c r="H61" s="712">
        <f>F61*G61</f>
        <v>0</v>
      </c>
    </row>
    <row r="62" spans="1:8" ht="15.75">
      <c r="A62" s="707"/>
      <c r="B62" s="1541" t="s">
        <v>837</v>
      </c>
      <c r="C62" s="1542"/>
      <c r="D62" s="1543"/>
      <c r="E62" s="709" t="s">
        <v>176</v>
      </c>
      <c r="F62" s="759">
        <v>53</v>
      </c>
      <c r="G62" s="802"/>
      <c r="H62" s="712">
        <f>F62*G62</f>
        <v>0</v>
      </c>
    </row>
    <row r="63" spans="1:8" ht="15.75">
      <c r="A63" s="707"/>
      <c r="B63" s="1541" t="s">
        <v>882</v>
      </c>
      <c r="C63" s="1542"/>
      <c r="D63" s="1543"/>
      <c r="E63" s="709" t="s">
        <v>11</v>
      </c>
      <c r="F63" s="759">
        <v>1</v>
      </c>
      <c r="G63" s="802"/>
      <c r="H63" s="712">
        <f>F63*G63</f>
        <v>0</v>
      </c>
    </row>
    <row r="64" spans="1:8" ht="15.75">
      <c r="A64" s="707"/>
      <c r="B64" s="1541" t="s">
        <v>883</v>
      </c>
      <c r="C64" s="1542"/>
      <c r="D64" s="1543"/>
      <c r="E64" s="709" t="s">
        <v>11</v>
      </c>
      <c r="F64" s="759">
        <v>13</v>
      </c>
      <c r="G64" s="802"/>
      <c r="H64" s="712">
        <f>F64*G64</f>
        <v>0</v>
      </c>
    </row>
    <row r="65" spans="1:9" ht="15.75">
      <c r="A65" s="707"/>
      <c r="B65" s="834"/>
      <c r="C65" s="1154"/>
      <c r="D65" s="834"/>
      <c r="E65" s="709"/>
      <c r="F65" s="759"/>
      <c r="G65" s="834"/>
      <c r="H65" s="712"/>
    </row>
    <row r="66" spans="1:9" ht="15.75">
      <c r="A66" s="707" t="s">
        <v>56</v>
      </c>
      <c r="B66" s="1544" t="s">
        <v>884</v>
      </c>
      <c r="C66" s="1545"/>
      <c r="D66" s="1546"/>
      <c r="E66" s="709"/>
      <c r="F66" s="759"/>
      <c r="G66" s="834"/>
      <c r="H66" s="712"/>
    </row>
    <row r="67" spans="1:9" ht="15.75">
      <c r="A67" s="707" t="s">
        <v>351</v>
      </c>
      <c r="B67" s="1541" t="s">
        <v>889</v>
      </c>
      <c r="C67" s="1542"/>
      <c r="D67" s="1543"/>
      <c r="E67" s="709" t="s">
        <v>11</v>
      </c>
      <c r="F67" s="759">
        <v>26</v>
      </c>
      <c r="G67" s="802"/>
      <c r="H67" s="712">
        <f>F67*G67</f>
        <v>0</v>
      </c>
    </row>
    <row r="68" spans="1:9" ht="15.75">
      <c r="A68" s="707"/>
      <c r="B68" s="834"/>
      <c r="C68" s="1154"/>
      <c r="D68" s="834"/>
      <c r="E68" s="709"/>
      <c r="F68" s="759"/>
      <c r="G68" s="834"/>
      <c r="H68" s="712"/>
    </row>
    <row r="69" spans="1:9" ht="15.75">
      <c r="A69" s="707" t="s">
        <v>350</v>
      </c>
      <c r="B69" s="1547" t="s">
        <v>885</v>
      </c>
      <c r="C69" s="1548"/>
      <c r="D69" s="1546"/>
      <c r="E69" s="834"/>
      <c r="F69" s="759"/>
      <c r="G69" s="711"/>
      <c r="H69" s="712"/>
    </row>
    <row r="70" spans="1:9" ht="63">
      <c r="A70" s="707" t="s">
        <v>128</v>
      </c>
      <c r="B70" s="832" t="s">
        <v>886</v>
      </c>
      <c r="C70" s="832"/>
      <c r="D70" s="832" t="s">
        <v>788</v>
      </c>
      <c r="E70" s="709" t="s">
        <v>11</v>
      </c>
      <c r="F70" s="759">
        <v>12</v>
      </c>
      <c r="G70" s="802"/>
      <c r="H70" s="712">
        <f>F70*G70</f>
        <v>0</v>
      </c>
    </row>
    <row r="71" spans="1:9" ht="31.5">
      <c r="A71" s="707" t="s">
        <v>130</v>
      </c>
      <c r="B71" s="832" t="s">
        <v>887</v>
      </c>
      <c r="C71" s="832"/>
      <c r="D71" s="832"/>
      <c r="E71" s="709" t="s">
        <v>11</v>
      </c>
      <c r="F71" s="759">
        <v>4</v>
      </c>
      <c r="G71" s="802"/>
      <c r="H71" s="712">
        <f>F71*G71</f>
        <v>0</v>
      </c>
    </row>
    <row r="72" spans="1:9" ht="15.75">
      <c r="A72" s="628"/>
      <c r="B72" s="635" t="s">
        <v>888</v>
      </c>
      <c r="C72" s="1155"/>
      <c r="D72" s="628"/>
      <c r="E72" s="630"/>
      <c r="F72" s="631"/>
      <c r="G72" s="632"/>
      <c r="H72" s="659">
        <f>SUM(H49:H71)</f>
        <v>0</v>
      </c>
    </row>
    <row r="73" spans="1:9" ht="15.75">
      <c r="A73" s="707"/>
      <c r="B73" s="1151"/>
      <c r="C73" s="1153"/>
      <c r="D73" s="1154"/>
      <c r="E73" s="709"/>
      <c r="F73" s="759"/>
      <c r="G73" s="1154"/>
      <c r="H73" s="712"/>
    </row>
    <row r="74" spans="1:9" ht="15.75">
      <c r="A74" s="898"/>
      <c r="B74" s="900" t="s">
        <v>1271</v>
      </c>
      <c r="C74" s="900"/>
      <c r="D74" s="897"/>
      <c r="E74" s="897"/>
      <c r="F74" s="898"/>
      <c r="G74" s="898"/>
      <c r="H74" s="899"/>
    </row>
    <row r="75" spans="1:9" ht="15.75">
      <c r="A75" s="707">
        <v>1</v>
      </c>
      <c r="B75" s="1544" t="s">
        <v>1204</v>
      </c>
      <c r="C75" s="1545"/>
      <c r="D75" s="1546"/>
      <c r="E75" s="1544"/>
      <c r="F75" s="1545"/>
      <c r="G75" s="1546"/>
      <c r="H75" s="1152"/>
      <c r="I75" s="1158"/>
    </row>
    <row r="76" spans="1:9" ht="15.75">
      <c r="A76" s="707"/>
      <c r="B76" s="832" t="s">
        <v>1205</v>
      </c>
      <c r="C76" s="1159" t="s">
        <v>1206</v>
      </c>
      <c r="D76" s="711" t="s">
        <v>784</v>
      </c>
      <c r="E76" s="759" t="s">
        <v>1207</v>
      </c>
      <c r="F76" s="759">
        <v>3</v>
      </c>
      <c r="G76" s="802"/>
      <c r="H76" s="712">
        <f>+F76*G76</f>
        <v>0</v>
      </c>
    </row>
    <row r="77" spans="1:9" ht="15.75">
      <c r="A77" s="707"/>
      <c r="B77" s="832"/>
      <c r="C77" s="1159" t="s">
        <v>1208</v>
      </c>
      <c r="D77" s="711" t="s">
        <v>784</v>
      </c>
      <c r="E77" s="759" t="s">
        <v>1207</v>
      </c>
      <c r="F77" s="759">
        <v>2</v>
      </c>
      <c r="G77" s="802"/>
      <c r="H77" s="712">
        <f>+F77*G77</f>
        <v>0</v>
      </c>
    </row>
    <row r="78" spans="1:9" ht="15.75">
      <c r="A78" s="707"/>
      <c r="B78" s="832" t="s">
        <v>1205</v>
      </c>
      <c r="C78" s="1159" t="s">
        <v>1209</v>
      </c>
      <c r="D78" s="711" t="s">
        <v>784</v>
      </c>
      <c r="E78" s="759" t="s">
        <v>1207</v>
      </c>
      <c r="F78" s="759">
        <v>1</v>
      </c>
      <c r="G78" s="802"/>
      <c r="H78" s="712">
        <f>+F78*G78</f>
        <v>0</v>
      </c>
    </row>
    <row r="79" spans="1:9" ht="15.75">
      <c r="A79" s="707"/>
      <c r="B79" s="832" t="s">
        <v>1210</v>
      </c>
      <c r="C79" s="1159"/>
      <c r="D79" s="711"/>
      <c r="E79" s="759"/>
      <c r="F79" s="759"/>
      <c r="G79" s="712"/>
      <c r="H79" s="712"/>
    </row>
    <row r="80" spans="1:9" ht="15.75">
      <c r="A80" s="707"/>
      <c r="B80" s="832"/>
      <c r="C80" s="1159" t="s">
        <v>1211</v>
      </c>
      <c r="D80" s="711" t="s">
        <v>784</v>
      </c>
      <c r="E80" s="759" t="s">
        <v>1207</v>
      </c>
      <c r="F80" s="759">
        <v>1</v>
      </c>
      <c r="G80" s="802"/>
      <c r="H80" s="712">
        <f>+F80*G80</f>
        <v>0</v>
      </c>
    </row>
    <row r="81" spans="1:9" ht="15.75">
      <c r="A81" s="707"/>
      <c r="B81" s="832"/>
      <c r="C81" s="1159" t="s">
        <v>1212</v>
      </c>
      <c r="D81" s="711" t="s">
        <v>784</v>
      </c>
      <c r="E81" s="759" t="s">
        <v>1207</v>
      </c>
      <c r="F81" s="759">
        <v>2</v>
      </c>
      <c r="G81" s="802"/>
      <c r="H81" s="712">
        <f>+F81*G81</f>
        <v>0</v>
      </c>
    </row>
    <row r="82" spans="1:9" ht="15.75">
      <c r="A82" s="707"/>
      <c r="B82" s="832"/>
      <c r="C82" s="1159"/>
      <c r="D82" s="711"/>
      <c r="E82" s="759"/>
      <c r="F82" s="759"/>
      <c r="G82" s="712"/>
      <c r="H82" s="712"/>
    </row>
    <row r="83" spans="1:9" ht="15.75">
      <c r="A83" s="707"/>
      <c r="B83" s="832" t="s">
        <v>1213</v>
      </c>
      <c r="C83" s="1159" t="s">
        <v>1214</v>
      </c>
      <c r="D83" s="711" t="s">
        <v>784</v>
      </c>
      <c r="E83" s="759" t="s">
        <v>1207</v>
      </c>
      <c r="F83" s="759">
        <v>1</v>
      </c>
      <c r="G83" s="802"/>
      <c r="H83" s="712">
        <f>+F83*G83</f>
        <v>0</v>
      </c>
    </row>
    <row r="84" spans="1:9" ht="15.75">
      <c r="A84" s="707"/>
      <c r="B84" s="832"/>
      <c r="C84" s="832"/>
      <c r="D84" s="711"/>
      <c r="E84" s="711"/>
      <c r="F84" s="759"/>
      <c r="G84" s="759"/>
      <c r="H84" s="712"/>
      <c r="I84" s="712"/>
    </row>
    <row r="85" spans="1:9" ht="15.75">
      <c r="A85" s="707">
        <v>2</v>
      </c>
      <c r="B85" s="1544" t="s">
        <v>872</v>
      </c>
      <c r="C85" s="1545"/>
      <c r="D85" s="1546"/>
      <c r="E85" s="1544"/>
      <c r="F85" s="1545"/>
      <c r="G85" s="1546"/>
      <c r="H85" s="1152"/>
      <c r="I85" s="712"/>
    </row>
    <row r="86" spans="1:9" ht="15.75">
      <c r="A86" s="707"/>
      <c r="B86" s="832" t="s">
        <v>1215</v>
      </c>
      <c r="C86" s="832"/>
      <c r="D86" s="832"/>
      <c r="E86" s="832"/>
      <c r="F86" s="759"/>
      <c r="G86" s="759"/>
      <c r="H86" s="712"/>
      <c r="I86" s="712"/>
    </row>
    <row r="87" spans="1:9" ht="15.75">
      <c r="A87" s="707"/>
      <c r="B87" s="832"/>
      <c r="C87" s="1159" t="s">
        <v>1216</v>
      </c>
      <c r="D87" s="742"/>
      <c r="E87" s="759" t="s">
        <v>1207</v>
      </c>
      <c r="F87" s="759">
        <v>2</v>
      </c>
      <c r="G87" s="802"/>
      <c r="H87" s="712">
        <f>G87*F87</f>
        <v>0</v>
      </c>
    </row>
    <row r="88" spans="1:9" ht="15.75">
      <c r="A88" s="707"/>
      <c r="B88" s="832"/>
      <c r="C88" s="1159" t="s">
        <v>1217</v>
      </c>
      <c r="D88" s="742"/>
      <c r="E88" s="759" t="s">
        <v>1207</v>
      </c>
      <c r="F88" s="759">
        <v>1</v>
      </c>
      <c r="G88" s="802"/>
      <c r="H88" s="712">
        <f>G88*F88</f>
        <v>0</v>
      </c>
    </row>
    <row r="89" spans="1:9" ht="15.75">
      <c r="A89" s="707"/>
      <c r="B89" s="832"/>
      <c r="C89" s="1159" t="s">
        <v>1218</v>
      </c>
      <c r="D89" s="742"/>
      <c r="E89" s="759" t="s">
        <v>1207</v>
      </c>
      <c r="F89" s="759">
        <v>1</v>
      </c>
      <c r="G89" s="802"/>
      <c r="H89" s="712">
        <f>G89*F89</f>
        <v>0</v>
      </c>
    </row>
    <row r="90" spans="1:9" ht="15.75">
      <c r="A90" s="707"/>
      <c r="B90" s="832"/>
      <c r="C90" s="1159" t="s">
        <v>1219</v>
      </c>
      <c r="D90" s="742"/>
      <c r="E90" s="759" t="s">
        <v>1207</v>
      </c>
      <c r="F90" s="759">
        <v>2</v>
      </c>
      <c r="G90" s="802"/>
      <c r="H90" s="712">
        <f>G90*F90</f>
        <v>0</v>
      </c>
    </row>
    <row r="91" spans="1:9" ht="15.75">
      <c r="A91" s="631"/>
      <c r="B91" s="635" t="s">
        <v>1220</v>
      </c>
      <c r="C91" s="1155"/>
      <c r="D91" s="628"/>
      <c r="E91" s="630"/>
      <c r="F91" s="631"/>
      <c r="G91" s="632"/>
      <c r="H91" s="659">
        <f>SUM(H76:H90)</f>
        <v>0</v>
      </c>
    </row>
    <row r="92" spans="1:9" ht="15.75">
      <c r="A92" s="832"/>
      <c r="B92" s="832"/>
      <c r="C92" s="832"/>
      <c r="D92" s="832"/>
      <c r="E92" s="832"/>
      <c r="F92" s="832"/>
      <c r="G92" s="832"/>
      <c r="H92" s="712"/>
      <c r="I92" s="712"/>
    </row>
    <row r="93" spans="1:9" ht="15.75">
      <c r="A93" s="707">
        <v>4</v>
      </c>
      <c r="B93" s="1544" t="s">
        <v>1227</v>
      </c>
      <c r="C93" s="1545"/>
      <c r="D93" s="1546"/>
      <c r="E93" s="1166"/>
      <c r="F93" s="838"/>
      <c r="G93" s="838"/>
      <c r="H93" s="1152"/>
      <c r="I93" s="712"/>
    </row>
    <row r="94" spans="1:9" ht="15.75">
      <c r="A94" s="832"/>
      <c r="B94" s="832"/>
      <c r="C94" s="832"/>
      <c r="D94" s="832"/>
      <c r="E94" s="832"/>
      <c r="F94" s="832"/>
      <c r="G94" s="832"/>
      <c r="H94" s="832"/>
      <c r="I94" s="712"/>
    </row>
    <row r="95" spans="1:9" ht="15.75">
      <c r="A95" s="707"/>
      <c r="B95" s="832" t="s">
        <v>1221</v>
      </c>
      <c r="C95" s="832"/>
      <c r="D95" s="832"/>
      <c r="E95" s="759" t="s">
        <v>1207</v>
      </c>
      <c r="F95" s="759">
        <v>296</v>
      </c>
      <c r="G95" s="802"/>
      <c r="H95" s="712">
        <f t="shared" ref="H95" si="1">+F95*G95</f>
        <v>0</v>
      </c>
    </row>
    <row r="96" spans="1:9" ht="15.75">
      <c r="A96" s="707"/>
      <c r="B96" s="832" t="s">
        <v>1222</v>
      </c>
      <c r="C96" s="832"/>
      <c r="D96" s="832"/>
      <c r="E96" s="759"/>
      <c r="F96" s="759"/>
      <c r="G96" s="712"/>
      <c r="H96" s="712"/>
    </row>
    <row r="97" spans="1:8" ht="15.75">
      <c r="A97" s="707"/>
      <c r="B97" s="832" t="s">
        <v>1223</v>
      </c>
      <c r="C97" s="832"/>
      <c r="D97" s="832"/>
      <c r="E97" s="759" t="s">
        <v>1207</v>
      </c>
      <c r="F97" s="759">
        <v>1</v>
      </c>
      <c r="G97" s="802"/>
      <c r="H97" s="712">
        <f t="shared" ref="H97" si="2">+F97*G97</f>
        <v>0</v>
      </c>
    </row>
    <row r="98" spans="1:8" ht="15.75">
      <c r="A98" s="707"/>
      <c r="B98" s="832" t="s">
        <v>1224</v>
      </c>
      <c r="C98" s="832"/>
      <c r="D98" s="832"/>
      <c r="E98" s="759" t="s">
        <v>1207</v>
      </c>
      <c r="F98" s="759">
        <f>SUM(F87:F90)</f>
        <v>6</v>
      </c>
      <c r="G98" s="802"/>
      <c r="H98" s="712">
        <f>+F98*G98</f>
        <v>0</v>
      </c>
    </row>
    <row r="99" spans="1:8" ht="15.75">
      <c r="A99" s="635"/>
      <c r="B99" s="635" t="s">
        <v>1225</v>
      </c>
      <c r="C99" s="635"/>
      <c r="D99" s="635"/>
      <c r="E99" s="635"/>
      <c r="F99" s="635"/>
      <c r="G99" s="635"/>
      <c r="H99" s="659">
        <f>SUM(H95:H98)</f>
        <v>0</v>
      </c>
    </row>
    <row r="100" spans="1:8" ht="15.75">
      <c r="A100" s="707"/>
      <c r="B100" s="1151"/>
      <c r="C100" s="1153"/>
      <c r="D100" s="1154"/>
      <c r="E100" s="709"/>
      <c r="F100" s="759"/>
      <c r="G100" s="1154"/>
      <c r="H100" s="712"/>
    </row>
    <row r="101" spans="1:8" ht="15.75">
      <c r="A101" s="635"/>
      <c r="B101" s="635" t="s">
        <v>1226</v>
      </c>
      <c r="C101" s="635"/>
      <c r="D101" s="635"/>
      <c r="E101" s="635"/>
      <c r="F101" s="635"/>
      <c r="G101" s="635"/>
      <c r="H101" s="659"/>
    </row>
    <row r="102" spans="1:8" ht="15.75">
      <c r="A102" s="707" t="s">
        <v>247</v>
      </c>
      <c r="B102" s="1160" t="s">
        <v>856</v>
      </c>
      <c r="C102" s="1153"/>
      <c r="D102" s="1154"/>
      <c r="E102" s="709"/>
      <c r="F102" s="759"/>
      <c r="G102" s="1154"/>
      <c r="H102" s="712">
        <f>H91</f>
        <v>0</v>
      </c>
    </row>
    <row r="103" spans="1:8" ht="15.75">
      <c r="A103" s="707" t="s">
        <v>249</v>
      </c>
      <c r="B103" s="1151" t="s">
        <v>1227</v>
      </c>
      <c r="C103" s="1153"/>
      <c r="D103" s="1154"/>
      <c r="E103" s="709"/>
      <c r="F103" s="759"/>
      <c r="G103" s="1154"/>
      <c r="H103" s="712">
        <f>H99</f>
        <v>0</v>
      </c>
    </row>
    <row r="104" spans="1:8" ht="15.75">
      <c r="A104" s="635"/>
      <c r="B104" s="635" t="s">
        <v>1226</v>
      </c>
      <c r="C104" s="635"/>
      <c r="D104" s="635"/>
      <c r="E104" s="635"/>
      <c r="F104" s="635"/>
      <c r="G104" s="635"/>
      <c r="H104" s="659">
        <f>SUM(H102:H103)</f>
        <v>0</v>
      </c>
    </row>
    <row r="105" spans="1:8" ht="15.75">
      <c r="A105" s="707"/>
      <c r="B105" s="1151"/>
      <c r="C105" s="1153"/>
      <c r="D105" s="1154"/>
      <c r="E105" s="709"/>
      <c r="F105" s="759"/>
      <c r="G105" s="1154"/>
      <c r="H105" s="712"/>
    </row>
    <row r="106" spans="1:8" ht="15.75">
      <c r="A106" s="1142"/>
      <c r="B106" s="1143" t="s">
        <v>922</v>
      </c>
      <c r="C106" s="1156"/>
      <c r="D106" s="1144"/>
      <c r="E106" s="1145"/>
      <c r="F106" s="1146"/>
      <c r="G106" s="1147"/>
      <c r="H106" s="1148"/>
    </row>
    <row r="107" spans="1:8" ht="15.75">
      <c r="A107" s="734" t="s">
        <v>247</v>
      </c>
      <c r="B107" s="658" t="s">
        <v>856</v>
      </c>
      <c r="C107" s="658"/>
      <c r="D107" s="658"/>
      <c r="E107" s="658"/>
      <c r="F107" s="658"/>
      <c r="G107" s="658"/>
      <c r="H107" s="835">
        <f>H45</f>
        <v>0</v>
      </c>
    </row>
    <row r="108" spans="1:8" ht="15.75">
      <c r="A108" s="734" t="s">
        <v>249</v>
      </c>
      <c r="B108" s="658" t="s">
        <v>875</v>
      </c>
      <c r="C108" s="658"/>
      <c r="D108" s="658"/>
      <c r="E108" s="658"/>
      <c r="F108" s="658"/>
      <c r="G108" s="658"/>
      <c r="H108" s="835">
        <f>H72</f>
        <v>0</v>
      </c>
    </row>
    <row r="109" spans="1:8" ht="15.75">
      <c r="A109" s="734" t="s">
        <v>251</v>
      </c>
      <c r="B109" s="658" t="s">
        <v>1230</v>
      </c>
      <c r="C109" s="658"/>
      <c r="D109" s="658"/>
      <c r="E109" s="658"/>
      <c r="F109" s="658"/>
      <c r="G109" s="658"/>
      <c r="H109" s="1161">
        <f>H104</f>
        <v>0</v>
      </c>
    </row>
    <row r="110" spans="1:8" ht="15.75">
      <c r="A110" s="1127"/>
      <c r="B110" s="1133" t="s">
        <v>838</v>
      </c>
      <c r="C110" s="1157"/>
      <c r="D110" s="1130"/>
      <c r="E110" s="1135"/>
      <c r="F110" s="1131"/>
      <c r="G110" s="1136"/>
      <c r="H110" s="1149">
        <f>SUM(H107:H109)</f>
        <v>0</v>
      </c>
    </row>
    <row r="111" spans="1:8">
      <c r="A111" s="752"/>
      <c r="B111" s="753"/>
      <c r="C111" s="753"/>
      <c r="D111" s="754"/>
      <c r="E111" s="755"/>
      <c r="F111" s="756"/>
      <c r="G111" s="757"/>
      <c r="H111" s="758"/>
    </row>
  </sheetData>
  <sheetProtection sheet="1" objects="1" scenarios="1" formatRows="0" selectLockedCells="1"/>
  <mergeCells count="24">
    <mergeCell ref="B39:G39"/>
    <mergeCell ref="B40:G40"/>
    <mergeCell ref="B4:D4"/>
    <mergeCell ref="B56:D56"/>
    <mergeCell ref="B59:D59"/>
    <mergeCell ref="B43:D43"/>
    <mergeCell ref="B44:D44"/>
    <mergeCell ref="B49:D49"/>
    <mergeCell ref="B50:D50"/>
    <mergeCell ref="B51:D51"/>
    <mergeCell ref="B54:D54"/>
    <mergeCell ref="B75:D75"/>
    <mergeCell ref="E75:G75"/>
    <mergeCell ref="B85:D85"/>
    <mergeCell ref="E85:G85"/>
    <mergeCell ref="B93:D93"/>
    <mergeCell ref="B60:D60"/>
    <mergeCell ref="B66:D66"/>
    <mergeCell ref="B67:D67"/>
    <mergeCell ref="B64:D64"/>
    <mergeCell ref="B69:D69"/>
    <mergeCell ref="B61:D61"/>
    <mergeCell ref="B62:D62"/>
    <mergeCell ref="B63:D63"/>
  </mergeCells>
  <pageMargins left="0.78749999999999998" right="0.39374999999999999" top="0.73406249999999995" bottom="0.63124999999999998" header="0.39374999999999999" footer="0.39374999999999999"/>
  <pageSetup paperSize="9" scale="80" orientation="portrait" r:id="rId1"/>
  <headerFooter alignWithMargins="0">
    <oddHeader>&amp;L&amp;"Times New Roman,Standard"Construction of BCP Kotroman&amp;R&amp;"Times New Roman,Standard"&amp;10Bill of Quantities</oddHeader>
    <oddFooter>&amp;R&amp;"Times New Roman,Regular"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Zeros="0" view="pageBreakPreview" zoomScaleNormal="90" zoomScaleSheetLayoutView="100" workbookViewId="0">
      <selection activeCell="D17" sqref="D17"/>
    </sheetView>
  </sheetViews>
  <sheetFormatPr baseColWidth="10" defaultColWidth="11.42578125" defaultRowHeight="15"/>
  <cols>
    <col min="1" max="1" width="7.42578125" customWidth="1"/>
    <col min="2" max="2" width="16.28515625" customWidth="1"/>
    <col min="3" max="3" width="54.85546875" customWidth="1"/>
    <col min="4" max="4" width="6.85546875" customWidth="1"/>
    <col min="5" max="5" width="15.28515625" customWidth="1"/>
  </cols>
  <sheetData>
    <row r="1" spans="1:6" ht="15.75">
      <c r="A1" s="777"/>
      <c r="B1" s="777"/>
      <c r="C1" s="777"/>
      <c r="D1" s="913"/>
      <c r="E1" s="777"/>
      <c r="F1" s="1094"/>
    </row>
    <row r="2" spans="1:6" ht="15.75">
      <c r="A2" s="1150" t="s">
        <v>909</v>
      </c>
      <c r="B2" s="1132"/>
      <c r="C2" s="1132"/>
      <c r="D2" s="1132"/>
      <c r="E2" s="1132"/>
      <c r="F2" s="1094"/>
    </row>
    <row r="3" spans="1:6" ht="15.75">
      <c r="A3" s="1167" t="s">
        <v>1228</v>
      </c>
      <c r="B3" s="1167" t="s">
        <v>1235</v>
      </c>
      <c r="C3" s="1167" t="s">
        <v>1229</v>
      </c>
      <c r="D3" s="1168"/>
      <c r="E3" s="1169" t="s">
        <v>1135</v>
      </c>
      <c r="F3" s="1095"/>
    </row>
    <row r="4" spans="1:6" ht="15.75">
      <c r="A4" s="777"/>
      <c r="B4" s="777"/>
      <c r="C4" s="777"/>
      <c r="D4" s="913"/>
      <c r="E4" s="777"/>
      <c r="F4" s="1094"/>
    </row>
    <row r="5" spans="1:6" ht="15.75">
      <c r="A5" s="777" t="s">
        <v>247</v>
      </c>
      <c r="B5" s="777" t="s">
        <v>910</v>
      </c>
      <c r="C5" s="777" t="s">
        <v>1147</v>
      </c>
      <c r="D5" s="913"/>
      <c r="E5" s="778">
        <f>'I - Book 1 &amp; 2.1 Arch.'!G1121</f>
        <v>0</v>
      </c>
      <c r="F5" s="1094"/>
    </row>
    <row r="6" spans="1:6" ht="15.75">
      <c r="A6" s="777" t="s">
        <v>249</v>
      </c>
      <c r="B6" s="777" t="s">
        <v>911</v>
      </c>
      <c r="C6" s="777" t="s">
        <v>1146</v>
      </c>
      <c r="D6" s="913"/>
      <c r="E6" s="778">
        <f>'II - Book 2.2 Traff.'!G64</f>
        <v>0</v>
      </c>
      <c r="F6" s="1094"/>
    </row>
    <row r="7" spans="1:6" ht="15.75">
      <c r="A7" s="777" t="s">
        <v>251</v>
      </c>
      <c r="B7" s="777" t="s">
        <v>912</v>
      </c>
      <c r="C7" s="777" t="s">
        <v>1138</v>
      </c>
      <c r="D7" s="913"/>
      <c r="E7" s="778">
        <f>'III - Book 3.1 Water sup.'!G257</f>
        <v>0</v>
      </c>
      <c r="F7" s="1094"/>
    </row>
    <row r="8" spans="1:6" ht="15.75">
      <c r="A8" s="777" t="s">
        <v>253</v>
      </c>
      <c r="B8" s="777" t="s">
        <v>913</v>
      </c>
      <c r="C8" s="777" t="s">
        <v>1142</v>
      </c>
      <c r="D8" s="913"/>
      <c r="E8" s="778">
        <f>'IV - Book 3.2 Sewerage'!G111</f>
        <v>0</v>
      </c>
      <c r="F8" s="1094"/>
    </row>
    <row r="9" spans="1:6" ht="15.75">
      <c r="A9" s="777" t="s">
        <v>255</v>
      </c>
      <c r="B9" s="777" t="s">
        <v>914</v>
      </c>
      <c r="C9" s="777" t="s">
        <v>1150</v>
      </c>
      <c r="D9" s="913"/>
      <c r="E9" s="778">
        <f>'V - Book 3.3 Atmo. sewe.'!G132</f>
        <v>0</v>
      </c>
      <c r="F9" s="1094"/>
    </row>
    <row r="10" spans="1:6" ht="15.75">
      <c r="A10" s="777" t="s">
        <v>257</v>
      </c>
      <c r="B10" s="777" t="s">
        <v>915</v>
      </c>
      <c r="C10" s="777" t="s">
        <v>1145</v>
      </c>
      <c r="D10" s="913"/>
      <c r="E10" s="778">
        <f>'VI - Book 4.1 Elec.'!G148</f>
        <v>0</v>
      </c>
      <c r="F10" s="1094"/>
    </row>
    <row r="11" spans="1:6" ht="15.75">
      <c r="A11" s="777" t="s">
        <v>259</v>
      </c>
      <c r="B11" s="777" t="s">
        <v>916</v>
      </c>
      <c r="C11" s="777" t="s">
        <v>1148</v>
      </c>
      <c r="D11" s="913"/>
      <c r="E11" s="778">
        <f>'VII - Book 5.1 &amp; 5.2 Telec.'!G73</f>
        <v>0</v>
      </c>
      <c r="F11" s="1094"/>
    </row>
    <row r="12" spans="1:6" ht="15.75">
      <c r="A12" s="777" t="s">
        <v>261</v>
      </c>
      <c r="B12" s="777" t="s">
        <v>917</v>
      </c>
      <c r="C12" s="777" t="s">
        <v>1162</v>
      </c>
      <c r="D12" s="913"/>
      <c r="E12" s="778">
        <f>'VIII - Book 6 Mech.'!G68</f>
        <v>0</v>
      </c>
      <c r="F12" s="1094"/>
    </row>
    <row r="13" spans="1:6" ht="16.5" thickBot="1">
      <c r="A13" s="777" t="s">
        <v>263</v>
      </c>
      <c r="B13" s="777" t="s">
        <v>918</v>
      </c>
      <c r="C13" s="777" t="s">
        <v>1149</v>
      </c>
      <c r="D13" s="913"/>
      <c r="E13" s="778">
        <f>'IX - Book 8 Traffic'!H110</f>
        <v>0</v>
      </c>
      <c r="F13" s="1094"/>
    </row>
    <row r="14" spans="1:6" ht="15.75">
      <c r="A14" s="912"/>
      <c r="B14" s="912" t="s">
        <v>1109</v>
      </c>
      <c r="C14" s="912"/>
      <c r="D14" s="912"/>
      <c r="E14" s="915">
        <f>SUM(E5:E13)</f>
        <v>0</v>
      </c>
      <c r="F14" s="1094"/>
    </row>
    <row r="15" spans="1:6" ht="16.5" thickBot="1">
      <c r="B15" s="777" t="s">
        <v>1159</v>
      </c>
      <c r="C15" s="777"/>
      <c r="D15" s="913"/>
      <c r="E15" s="778">
        <v>37500</v>
      </c>
      <c r="F15" s="1094"/>
    </row>
    <row r="16" spans="1:6" ht="15.75">
      <c r="A16" s="912"/>
      <c r="B16" s="912" t="s">
        <v>1236</v>
      </c>
      <c r="C16" s="912"/>
      <c r="D16" s="912"/>
      <c r="E16" s="915">
        <f>SUM(E14:E15)</f>
        <v>37500</v>
      </c>
      <c r="F16" s="1094"/>
    </row>
    <row r="17" spans="1:6" ht="16.5" thickBot="1">
      <c r="B17" s="890" t="s">
        <v>1110</v>
      </c>
      <c r="C17" s="914" t="s">
        <v>1111</v>
      </c>
      <c r="D17" s="1321">
        <v>0</v>
      </c>
      <c r="E17" s="891">
        <f>-E16*D17</f>
        <v>0</v>
      </c>
      <c r="F17" s="1094"/>
    </row>
    <row r="18" spans="1:6" ht="15.75">
      <c r="A18" s="912"/>
      <c r="B18" s="912" t="s">
        <v>1237</v>
      </c>
      <c r="C18" s="912"/>
      <c r="D18" s="912"/>
      <c r="E18" s="915">
        <f>SUM(E16:E17)</f>
        <v>37500</v>
      </c>
      <c r="F18" s="1094"/>
    </row>
    <row r="19" spans="1:6" ht="16.5" thickBot="1">
      <c r="A19" s="890"/>
      <c r="B19" s="890" t="s">
        <v>1238</v>
      </c>
      <c r="C19" s="890"/>
      <c r="D19" s="890"/>
      <c r="E19" s="891">
        <f>E16*0.1</f>
        <v>3750</v>
      </c>
      <c r="F19" s="1094"/>
    </row>
    <row r="20" spans="1:6" ht="15.75">
      <c r="A20" s="912"/>
      <c r="B20" s="912" t="s">
        <v>1108</v>
      </c>
      <c r="C20" s="912"/>
      <c r="D20" s="912"/>
      <c r="E20" s="915">
        <f>SUM(E18:E19)</f>
        <v>41250</v>
      </c>
      <c r="F20" s="1094"/>
    </row>
    <row r="21" spans="1:6">
      <c r="F21" s="1094"/>
    </row>
    <row r="22" spans="1:6">
      <c r="F22" s="1094"/>
    </row>
    <row r="23" spans="1:6">
      <c r="F23" s="1094"/>
    </row>
    <row r="24" spans="1:6">
      <c r="F24" s="1094"/>
    </row>
    <row r="25" spans="1:6">
      <c r="F25" s="1094"/>
    </row>
    <row r="26" spans="1:6">
      <c r="F26" s="1094"/>
    </row>
    <row r="27" spans="1:6">
      <c r="F27" s="1094"/>
    </row>
    <row r="28" spans="1:6">
      <c r="F28" s="1094"/>
    </row>
    <row r="29" spans="1:6">
      <c r="F29" s="1094"/>
    </row>
  </sheetData>
  <sheetProtection sheet="1" objects="1" scenarios="1" formatRows="0" selectLockedCells="1"/>
  <pageMargins left="0.78749999999999998" right="0.39374999999999999" top="0.73406249999999995" bottom="0.63124999999999998" header="0.39374999999999999" footer="0.39374999999999999"/>
  <pageSetup paperSize="9" scale="80" orientation="portrait" r:id="rId1"/>
  <headerFooter alignWithMargins="0">
    <oddHeader>&amp;L&amp;"Times New Roman,Standard"Construction of BCP Kotroman&amp;R&amp;"Times New Roman,Standard"&amp;10Bill of Quantities</oddHeader>
    <oddFooter>&amp;R&amp;"Times New Roman,Regular"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1122"/>
  <sheetViews>
    <sheetView showZeros="0" view="pageBreakPreview" topLeftCell="A36" zoomScale="85" zoomScaleNormal="100" zoomScaleSheetLayoutView="85" workbookViewId="0">
      <selection activeCell="F9" sqref="F9"/>
    </sheetView>
  </sheetViews>
  <sheetFormatPr baseColWidth="10" defaultColWidth="9" defaultRowHeight="15.75"/>
  <cols>
    <col min="1" max="1" width="6.140625" style="3" customWidth="1"/>
    <col min="2" max="2" width="36.5703125" style="918" customWidth="1"/>
    <col min="3" max="3" width="11.42578125" style="4" customWidth="1"/>
    <col min="4" max="4" width="7.85546875" style="5" customWidth="1"/>
    <col min="5" max="5" width="11.42578125" style="6" customWidth="1"/>
    <col min="6" max="6" width="13.42578125" style="7" customWidth="1"/>
    <col min="7" max="7" width="16.28515625" style="8" customWidth="1"/>
    <col min="8" max="8" width="13.42578125" style="1370" customWidth="1"/>
    <col min="9" max="9" width="15.28515625" style="1370" customWidth="1"/>
    <col min="10" max="10" width="13.85546875" style="1371" customWidth="1"/>
    <col min="11" max="11" width="12" style="1372" customWidth="1"/>
    <col min="12" max="245" width="9.28515625" style="9" customWidth="1"/>
    <col min="246" max="248" width="9.28515625" style="10" customWidth="1"/>
    <col min="249" max="16384" width="9" style="10"/>
  </cols>
  <sheetData>
    <row r="1" spans="1:11" ht="18.75">
      <c r="A1" s="10"/>
      <c r="B1" s="917" t="s">
        <v>1115</v>
      </c>
      <c r="C1" s="12"/>
      <c r="D1" s="13"/>
      <c r="E1" s="14"/>
      <c r="F1" s="15"/>
      <c r="G1" s="16"/>
    </row>
    <row r="2" spans="1:11" ht="18.75">
      <c r="A2" s="10"/>
      <c r="B2" s="917" t="s">
        <v>897</v>
      </c>
      <c r="C2" s="17"/>
      <c r="D2" s="13"/>
      <c r="E2" s="18"/>
      <c r="F2" s="15"/>
      <c r="G2" s="16"/>
    </row>
    <row r="3" spans="1:11">
      <c r="A3" s="916"/>
      <c r="C3" s="17"/>
      <c r="D3" s="13"/>
      <c r="E3" s="18"/>
      <c r="F3" s="15"/>
      <c r="G3" s="16"/>
    </row>
    <row r="4" spans="1:11">
      <c r="A4" s="794"/>
      <c r="B4" s="919" t="s">
        <v>0</v>
      </c>
      <c r="C4" s="795"/>
      <c r="D4" s="796"/>
      <c r="E4" s="797"/>
      <c r="F4" s="798"/>
      <c r="G4" s="799"/>
      <c r="H4" s="1373"/>
      <c r="I4" s="1373"/>
    </row>
    <row r="5" spans="1:11" ht="17.100000000000001" customHeight="1">
      <c r="A5" s="11"/>
      <c r="B5" s="1508"/>
      <c r="C5" s="1508"/>
      <c r="D5" s="1508"/>
      <c r="E5" s="1508"/>
      <c r="F5" s="1508"/>
      <c r="G5" s="1508"/>
      <c r="H5" s="1374"/>
      <c r="I5" s="1371"/>
    </row>
    <row r="6" spans="1:11" ht="36.75" customHeight="1">
      <c r="A6" s="766" t="s">
        <v>891</v>
      </c>
      <c r="B6" s="767" t="s">
        <v>892</v>
      </c>
      <c r="C6" s="768" t="s">
        <v>894</v>
      </c>
      <c r="D6" s="768" t="s">
        <v>1</v>
      </c>
      <c r="E6" s="769" t="s">
        <v>893</v>
      </c>
      <c r="F6" s="769" t="s">
        <v>1234</v>
      </c>
      <c r="G6" s="769" t="s">
        <v>1233</v>
      </c>
      <c r="H6" s="1375"/>
      <c r="I6" s="1376"/>
      <c r="J6" s="1376"/>
    </row>
    <row r="7" spans="1:11">
      <c r="A7" s="11"/>
      <c r="B7" s="921"/>
      <c r="C7" s="19"/>
      <c r="D7" s="13"/>
      <c r="E7" s="18"/>
      <c r="F7" s="15"/>
      <c r="G7" s="16"/>
    </row>
    <row r="8" spans="1:11">
      <c r="A8" s="21"/>
      <c r="B8" s="922" t="s">
        <v>2</v>
      </c>
      <c r="C8" s="1179" t="s">
        <v>1240</v>
      </c>
      <c r="D8" s="22"/>
      <c r="E8" s="23"/>
      <c r="F8" s="23"/>
      <c r="G8" s="24"/>
      <c r="H8" s="1377"/>
      <c r="I8" s="1377"/>
    </row>
    <row r="9" spans="1:11" ht="63">
      <c r="A9" s="50" t="s">
        <v>47</v>
      </c>
      <c r="B9" s="923" t="s">
        <v>1320</v>
      </c>
      <c r="C9" s="843"/>
      <c r="D9" s="51" t="s">
        <v>898</v>
      </c>
      <c r="E9" s="14">
        <v>1</v>
      </c>
      <c r="F9" s="803"/>
      <c r="G9" s="34">
        <f>+F9*E9</f>
        <v>0</v>
      </c>
      <c r="H9" s="1378"/>
      <c r="I9" s="1378"/>
      <c r="J9" s="1378"/>
      <c r="K9" s="1379"/>
    </row>
    <row r="10" spans="1:11">
      <c r="A10" s="50"/>
      <c r="B10" s="923"/>
      <c r="C10" s="843"/>
      <c r="D10" s="51"/>
      <c r="E10" s="14"/>
      <c r="F10" s="28"/>
      <c r="G10" s="47"/>
      <c r="H10" s="1378"/>
      <c r="I10" s="1378"/>
      <c r="J10" s="1378"/>
      <c r="K10" s="1379"/>
    </row>
    <row r="11" spans="1:11">
      <c r="A11" s="25">
        <v>2</v>
      </c>
      <c r="B11" s="923" t="s">
        <v>3</v>
      </c>
      <c r="C11" s="26"/>
      <c r="D11" s="2"/>
      <c r="E11" s="27"/>
      <c r="F11" s="28"/>
      <c r="G11" s="28"/>
      <c r="H11" s="1380"/>
      <c r="I11" s="1380"/>
    </row>
    <row r="12" spans="1:11" ht="46.9" customHeight="1">
      <c r="A12" s="30"/>
      <c r="B12" s="924" t="s">
        <v>4</v>
      </c>
      <c r="C12" s="31"/>
      <c r="D12" s="2"/>
      <c r="E12" s="27"/>
      <c r="F12" s="28"/>
      <c r="G12" s="28"/>
      <c r="H12" s="1380"/>
      <c r="I12" s="1380"/>
    </row>
    <row r="13" spans="1:11">
      <c r="A13" s="30"/>
      <c r="B13" s="923" t="s">
        <v>5</v>
      </c>
      <c r="C13" s="26"/>
      <c r="D13" s="32" t="s">
        <v>898</v>
      </c>
      <c r="E13" s="33">
        <v>1</v>
      </c>
      <c r="F13" s="803"/>
      <c r="G13" s="34">
        <f>+F13*E13</f>
        <v>0</v>
      </c>
      <c r="H13" s="1381"/>
      <c r="I13" s="1378"/>
      <c r="J13" s="1378"/>
      <c r="K13" s="1379"/>
    </row>
    <row r="14" spans="1:11">
      <c r="A14" s="30"/>
      <c r="B14" s="925"/>
      <c r="C14" s="35"/>
      <c r="D14" s="36"/>
      <c r="E14" s="27"/>
      <c r="F14" s="28"/>
      <c r="G14" s="28"/>
      <c r="H14" s="1380"/>
      <c r="I14" s="1380"/>
      <c r="J14" s="1378"/>
      <c r="K14" s="1379"/>
    </row>
    <row r="15" spans="1:11">
      <c r="A15" s="25">
        <v>3</v>
      </c>
      <c r="B15" s="923" t="s">
        <v>6</v>
      </c>
      <c r="C15" s="888" t="s">
        <v>1241</v>
      </c>
      <c r="D15" s="36"/>
      <c r="E15" s="27"/>
      <c r="F15" s="28"/>
      <c r="G15" s="28"/>
      <c r="H15" s="1380"/>
      <c r="I15" s="1380"/>
      <c r="J15" s="1378"/>
      <c r="K15" s="1379"/>
    </row>
    <row r="16" spans="1:11" ht="85.5" customHeight="1">
      <c r="A16" s="25" t="s">
        <v>14</v>
      </c>
      <c r="B16" s="923" t="s">
        <v>7</v>
      </c>
      <c r="C16" s="888" t="s">
        <v>1241</v>
      </c>
      <c r="D16" s="32" t="s">
        <v>898</v>
      </c>
      <c r="E16" s="38">
        <v>1</v>
      </c>
      <c r="F16" s="804"/>
      <c r="G16" s="20">
        <f>F16*E16</f>
        <v>0</v>
      </c>
      <c r="H16" s="1382"/>
      <c r="I16" s="1382"/>
      <c r="J16" s="1378"/>
      <c r="K16" s="1379"/>
    </row>
    <row r="17" spans="1:256">
      <c r="A17" s="30"/>
      <c r="B17" s="925"/>
      <c r="C17" s="843"/>
      <c r="D17" s="36"/>
      <c r="E17" s="27"/>
      <c r="F17" s="28"/>
      <c r="G17" s="28"/>
      <c r="H17" s="1380"/>
      <c r="I17" s="1380"/>
      <c r="J17" s="1378"/>
      <c r="K17" s="1379"/>
    </row>
    <row r="18" spans="1:256" ht="63">
      <c r="A18" s="25" t="s">
        <v>17</v>
      </c>
      <c r="B18" s="923" t="s">
        <v>8</v>
      </c>
      <c r="C18" s="888" t="s">
        <v>1241</v>
      </c>
      <c r="D18" s="32" t="s">
        <v>898</v>
      </c>
      <c r="E18" s="38">
        <v>1</v>
      </c>
      <c r="F18" s="804"/>
      <c r="G18" s="20">
        <f>F18*E18</f>
        <v>0</v>
      </c>
      <c r="H18" s="1382"/>
      <c r="I18" s="1382"/>
      <c r="J18" s="1378"/>
      <c r="K18" s="1379"/>
    </row>
    <row r="19" spans="1:256">
      <c r="A19" s="30"/>
      <c r="B19" s="925"/>
      <c r="D19" s="39"/>
      <c r="E19" s="38"/>
      <c r="F19" s="20"/>
      <c r="G19" s="20"/>
      <c r="H19" s="1383"/>
      <c r="I19" s="1383"/>
      <c r="J19" s="1378"/>
      <c r="K19" s="1379"/>
    </row>
    <row r="20" spans="1:256" ht="47.25">
      <c r="A20" s="25" t="s">
        <v>1294</v>
      </c>
      <c r="B20" s="923" t="s">
        <v>9</v>
      </c>
      <c r="C20" s="888" t="s">
        <v>1241</v>
      </c>
      <c r="D20" s="32" t="s">
        <v>898</v>
      </c>
      <c r="E20" s="38">
        <v>1</v>
      </c>
      <c r="F20" s="804"/>
      <c r="G20" s="20">
        <f>F20*E20</f>
        <v>0</v>
      </c>
      <c r="H20" s="1382"/>
      <c r="I20" s="1382"/>
      <c r="J20" s="1378"/>
      <c r="K20" s="1379"/>
    </row>
    <row r="21" spans="1:256">
      <c r="A21" s="30"/>
      <c r="B21" s="925"/>
      <c r="C21" s="843"/>
      <c r="D21" s="39"/>
      <c r="E21" s="38"/>
      <c r="F21" s="20"/>
      <c r="G21" s="20"/>
      <c r="H21" s="1383"/>
      <c r="I21" s="1383"/>
      <c r="J21" s="1378"/>
      <c r="K21" s="1379"/>
    </row>
    <row r="22" spans="1:256" ht="47.25">
      <c r="A22" s="25" t="s">
        <v>1295</v>
      </c>
      <c r="B22" s="923" t="s">
        <v>10</v>
      </c>
      <c r="C22" s="888" t="s">
        <v>1241</v>
      </c>
      <c r="D22" s="37" t="s">
        <v>11</v>
      </c>
      <c r="E22" s="38">
        <v>1</v>
      </c>
      <c r="F22" s="804"/>
      <c r="G22" s="20">
        <f>F22*E22</f>
        <v>0</v>
      </c>
      <c r="H22" s="1382"/>
      <c r="I22" s="1382"/>
      <c r="J22" s="1378"/>
      <c r="K22" s="1379"/>
    </row>
    <row r="23" spans="1:256">
      <c r="A23" s="30"/>
      <c r="B23" s="925"/>
      <c r="D23" s="36"/>
      <c r="E23" s="27"/>
      <c r="F23" s="28"/>
      <c r="G23" s="28"/>
      <c r="H23" s="1380"/>
      <c r="I23" s="1380"/>
      <c r="J23" s="1378"/>
      <c r="K23" s="1379"/>
    </row>
    <row r="24" spans="1:256" ht="47.25">
      <c r="A24" s="25" t="s">
        <v>1296</v>
      </c>
      <c r="B24" s="923" t="s">
        <v>12</v>
      </c>
      <c r="C24" s="888" t="s">
        <v>1241</v>
      </c>
      <c r="D24" s="32" t="s">
        <v>898</v>
      </c>
      <c r="E24" s="38">
        <v>1</v>
      </c>
      <c r="F24" s="804"/>
      <c r="G24" s="20">
        <f>F24*E24</f>
        <v>0</v>
      </c>
      <c r="H24" s="1382"/>
      <c r="I24" s="1382"/>
      <c r="J24" s="1378"/>
      <c r="K24" s="1379"/>
    </row>
    <row r="25" spans="1:256">
      <c r="A25" s="30"/>
      <c r="B25" s="925"/>
      <c r="D25" s="39"/>
      <c r="E25" s="38"/>
      <c r="F25" s="20"/>
      <c r="G25" s="20"/>
      <c r="H25" s="1383"/>
      <c r="I25" s="1383"/>
      <c r="J25" s="1378"/>
      <c r="K25" s="1379"/>
    </row>
    <row r="26" spans="1:256">
      <c r="A26" s="25">
        <v>4</v>
      </c>
      <c r="B26" s="923" t="s">
        <v>13</v>
      </c>
      <c r="D26" s="36"/>
      <c r="E26" s="27"/>
      <c r="F26" s="28"/>
      <c r="G26" s="28"/>
      <c r="H26" s="1380"/>
      <c r="I26" s="1380"/>
      <c r="J26" s="1378"/>
      <c r="K26" s="1379"/>
    </row>
    <row r="27" spans="1:256" ht="63">
      <c r="A27" s="25" t="s">
        <v>351</v>
      </c>
      <c r="B27" s="923" t="s">
        <v>15</v>
      </c>
      <c r="C27" s="888" t="s">
        <v>1241</v>
      </c>
      <c r="D27" s="32" t="s">
        <v>16</v>
      </c>
      <c r="E27" s="40">
        <v>9961</v>
      </c>
      <c r="F27" s="804"/>
      <c r="G27" s="41">
        <f>F27*E27</f>
        <v>0</v>
      </c>
      <c r="H27" s="1382"/>
      <c r="I27" s="1382"/>
      <c r="J27" s="1378"/>
      <c r="K27" s="1379"/>
    </row>
    <row r="28" spans="1:256">
      <c r="A28" s="30"/>
      <c r="B28" s="925"/>
      <c r="C28" s="843"/>
      <c r="D28" s="36"/>
      <c r="E28" s="27"/>
      <c r="F28" s="28"/>
      <c r="G28" s="28"/>
      <c r="H28" s="1380"/>
      <c r="I28" s="1380"/>
      <c r="J28" s="1378"/>
      <c r="K28" s="1379"/>
    </row>
    <row r="29" spans="1:256" ht="31.5">
      <c r="A29" s="25" t="s">
        <v>1297</v>
      </c>
      <c r="B29" s="923" t="s">
        <v>18</v>
      </c>
      <c r="C29" s="888" t="s">
        <v>1241</v>
      </c>
      <c r="D29" s="42" t="s">
        <v>19</v>
      </c>
      <c r="E29" s="773">
        <f>9961*0.3</f>
        <v>2988.2999999999997</v>
      </c>
      <c r="F29" s="804"/>
      <c r="G29" s="43">
        <f>F29*E29</f>
        <v>0</v>
      </c>
      <c r="H29" s="1382"/>
      <c r="I29" s="1382"/>
      <c r="J29" s="1378"/>
      <c r="K29" s="1379"/>
    </row>
    <row r="30" spans="1:256">
      <c r="A30" s="30"/>
      <c r="B30" s="925"/>
      <c r="C30" s="843"/>
      <c r="D30" s="36"/>
      <c r="E30" s="27"/>
      <c r="F30" s="27"/>
      <c r="G30" s="28"/>
      <c r="H30" s="1380"/>
      <c r="I30" s="1380"/>
      <c r="J30" s="1378"/>
      <c r="K30" s="1379"/>
    </row>
    <row r="31" spans="1:256" s="29" customFormat="1">
      <c r="A31" s="25">
        <v>5</v>
      </c>
      <c r="B31" s="926" t="s">
        <v>20</v>
      </c>
      <c r="C31" s="888" t="s">
        <v>1241</v>
      </c>
      <c r="D31" s="2"/>
      <c r="E31" s="44"/>
      <c r="F31" s="2"/>
      <c r="G31" s="2"/>
      <c r="H31" s="1384"/>
      <c r="I31" s="1385"/>
      <c r="J31" s="1378"/>
      <c r="K31" s="1379"/>
      <c r="IL31" s="45"/>
      <c r="IM31" s="45"/>
      <c r="IN31" s="45"/>
      <c r="IO31" s="45"/>
      <c r="IP31" s="45"/>
      <c r="IQ31" s="45"/>
      <c r="IR31" s="45"/>
      <c r="IS31" s="45"/>
      <c r="IT31" s="45"/>
      <c r="IU31" s="45"/>
      <c r="IV31" s="45"/>
    </row>
    <row r="32" spans="1:256" ht="63" customHeight="1">
      <c r="A32" s="30"/>
      <c r="B32" s="926" t="s">
        <v>21</v>
      </c>
      <c r="D32" s="37" t="s">
        <v>11</v>
      </c>
      <c r="E32" s="38">
        <v>1</v>
      </c>
      <c r="F32" s="804"/>
      <c r="G32" s="20">
        <f>F32*E32</f>
        <v>0</v>
      </c>
      <c r="H32" s="1382"/>
      <c r="I32" s="1382"/>
      <c r="J32" s="1378"/>
      <c r="K32" s="1379"/>
    </row>
    <row r="33" spans="1:11">
      <c r="A33" s="30"/>
      <c r="B33" s="925"/>
      <c r="C33" s="843"/>
      <c r="D33" s="36"/>
      <c r="E33" s="27"/>
      <c r="F33" s="28"/>
      <c r="G33" s="28"/>
      <c r="H33" s="1380"/>
      <c r="I33" s="1380"/>
      <c r="J33" s="1378"/>
      <c r="K33" s="1379"/>
    </row>
    <row r="34" spans="1:11">
      <c r="A34" s="1326">
        <v>6</v>
      </c>
      <c r="B34" s="926" t="s">
        <v>1285</v>
      </c>
      <c r="C34" s="888" t="s">
        <v>1287</v>
      </c>
      <c r="D34" s="2"/>
      <c r="E34" s="44"/>
      <c r="F34" s="2"/>
      <c r="G34" s="28"/>
      <c r="H34" s="1380"/>
      <c r="I34" s="1380"/>
      <c r="J34" s="1378"/>
      <c r="K34" s="1379"/>
    </row>
    <row r="35" spans="1:11" ht="63">
      <c r="A35" s="30"/>
      <c r="B35" s="926" t="s">
        <v>1286</v>
      </c>
      <c r="C35" s="888"/>
      <c r="D35" s="37" t="s">
        <v>11</v>
      </c>
      <c r="E35" s="38">
        <v>1</v>
      </c>
      <c r="F35" s="804"/>
      <c r="G35" s="20">
        <f>F35*E35</f>
        <v>0</v>
      </c>
      <c r="H35" s="1380"/>
      <c r="I35" s="1380"/>
      <c r="J35" s="1378"/>
      <c r="K35" s="1379"/>
    </row>
    <row r="36" spans="1:11">
      <c r="A36" s="30"/>
      <c r="B36" s="925"/>
      <c r="C36" s="843"/>
      <c r="D36" s="36"/>
      <c r="E36" s="27"/>
      <c r="F36" s="28"/>
      <c r="G36" s="28"/>
      <c r="H36" s="1380"/>
      <c r="I36" s="1380"/>
      <c r="J36" s="1378"/>
      <c r="K36" s="1379"/>
    </row>
    <row r="37" spans="1:11">
      <c r="A37" s="1325" t="s">
        <v>697</v>
      </c>
      <c r="B37" s="927" t="s">
        <v>24</v>
      </c>
      <c r="C37" s="888" t="s">
        <v>1241</v>
      </c>
      <c r="D37" s="49"/>
      <c r="E37" s="14"/>
      <c r="F37" s="49"/>
      <c r="G37" s="49"/>
      <c r="H37" s="1386"/>
      <c r="I37" s="1386"/>
      <c r="J37" s="1378"/>
      <c r="K37" s="1379"/>
    </row>
    <row r="38" spans="1:11" ht="63">
      <c r="A38" s="1325"/>
      <c r="B38" s="923" t="s">
        <v>25</v>
      </c>
      <c r="D38" s="32" t="s">
        <v>1280</v>
      </c>
      <c r="E38" s="46">
        <v>18</v>
      </c>
      <c r="F38" s="804"/>
      <c r="G38" s="47">
        <f>+F38*E38</f>
        <v>0</v>
      </c>
      <c r="H38" s="1378"/>
      <c r="I38" s="1378"/>
      <c r="J38" s="1378"/>
      <c r="K38" s="1379"/>
    </row>
    <row r="39" spans="1:11">
      <c r="A39" s="1326"/>
      <c r="B39" s="925"/>
      <c r="D39" s="36"/>
      <c r="E39" s="27"/>
      <c r="F39" s="28"/>
      <c r="G39" s="28"/>
      <c r="H39" s="1380"/>
      <c r="I39" s="1380"/>
      <c r="J39" s="1378"/>
      <c r="K39" s="1379"/>
    </row>
    <row r="40" spans="1:11" ht="31.5">
      <c r="A40" s="1326">
        <v>8</v>
      </c>
      <c r="B40" s="923" t="s">
        <v>1281</v>
      </c>
      <c r="C40" s="888" t="s">
        <v>1241</v>
      </c>
      <c r="D40" s="36"/>
      <c r="E40" s="27"/>
      <c r="F40" s="28"/>
      <c r="G40" s="28"/>
      <c r="H40" s="1380"/>
      <c r="I40" s="1380"/>
      <c r="J40" s="1378"/>
      <c r="K40" s="1379"/>
    </row>
    <row r="41" spans="1:11" ht="64.5" customHeight="1">
      <c r="A41" s="1326"/>
      <c r="B41" s="923" t="s">
        <v>1282</v>
      </c>
      <c r="C41" s="843"/>
      <c r="D41" s="32" t="s">
        <v>1280</v>
      </c>
      <c r="E41" s="46">
        <v>18</v>
      </c>
      <c r="F41" s="804"/>
      <c r="G41" s="47">
        <f>+F41*E41</f>
        <v>0</v>
      </c>
      <c r="H41" s="1380"/>
      <c r="I41" s="1380"/>
      <c r="J41" s="1378"/>
      <c r="K41" s="1379"/>
    </row>
    <row r="42" spans="1:11">
      <c r="A42" s="30"/>
      <c r="B42" s="923"/>
      <c r="C42" s="843"/>
      <c r="D42" s="10"/>
      <c r="E42" s="10"/>
      <c r="F42" s="10"/>
      <c r="G42" s="47"/>
      <c r="H42" s="1378"/>
      <c r="I42" s="1378"/>
      <c r="J42" s="1378"/>
      <c r="K42" s="1379"/>
    </row>
    <row r="43" spans="1:11">
      <c r="A43" s="25">
        <v>9</v>
      </c>
      <c r="B43" s="927" t="s">
        <v>26</v>
      </c>
      <c r="C43" s="888" t="s">
        <v>1241</v>
      </c>
      <c r="D43" s="36"/>
      <c r="E43" s="27"/>
      <c r="F43" s="28"/>
      <c r="G43" s="28"/>
      <c r="H43" s="1380"/>
      <c r="I43" s="1380"/>
      <c r="J43" s="1378"/>
      <c r="K43" s="1379"/>
    </row>
    <row r="44" spans="1:11" ht="64.5" customHeight="1">
      <c r="A44" s="30"/>
      <c r="B44" s="923" t="s">
        <v>27</v>
      </c>
      <c r="C44" s="843"/>
      <c r="D44" s="32" t="s">
        <v>1280</v>
      </c>
      <c r="E44" s="46">
        <v>18</v>
      </c>
      <c r="F44" s="804"/>
      <c r="G44" s="47">
        <f>+F44*E44</f>
        <v>0</v>
      </c>
      <c r="H44" s="1380"/>
      <c r="I44" s="1380"/>
      <c r="J44" s="1378"/>
      <c r="K44" s="1379"/>
    </row>
    <row r="45" spans="1:11">
      <c r="A45" s="30"/>
      <c r="B45" s="925"/>
      <c r="D45" s="36"/>
      <c r="E45" s="27"/>
      <c r="F45" s="28"/>
      <c r="G45" s="28"/>
      <c r="H45" s="1380"/>
      <c r="I45" s="1380"/>
      <c r="J45" s="1378"/>
      <c r="K45" s="1379"/>
    </row>
    <row r="46" spans="1:11">
      <c r="A46" s="48" t="s">
        <v>28</v>
      </c>
      <c r="B46" s="923" t="s">
        <v>29</v>
      </c>
      <c r="C46" s="888" t="s">
        <v>1241</v>
      </c>
      <c r="D46" s="49"/>
      <c r="E46" s="14"/>
      <c r="F46" s="49"/>
      <c r="G46" s="49"/>
      <c r="H46" s="1386"/>
      <c r="I46" s="1386"/>
      <c r="J46" s="1378"/>
      <c r="K46" s="1379"/>
    </row>
    <row r="47" spans="1:11" ht="63">
      <c r="A47" s="50"/>
      <c r="B47" s="923" t="s">
        <v>30</v>
      </c>
      <c r="D47" s="51" t="s">
        <v>31</v>
      </c>
      <c r="E47" s="46">
        <v>50</v>
      </c>
      <c r="F47" s="804"/>
      <c r="G47" s="47">
        <f>+F47*E47</f>
        <v>0</v>
      </c>
      <c r="H47" s="1378"/>
      <c r="I47" s="1378"/>
      <c r="J47" s="1378"/>
      <c r="K47" s="1379"/>
    </row>
    <row r="48" spans="1:11">
      <c r="A48" s="30"/>
      <c r="B48" s="925"/>
      <c r="C48" s="843"/>
      <c r="D48" s="36"/>
      <c r="E48" s="27"/>
      <c r="F48" s="28"/>
      <c r="G48" s="28"/>
      <c r="H48" s="1380"/>
      <c r="I48" s="1380"/>
      <c r="J48" s="1378"/>
      <c r="K48" s="1379"/>
    </row>
    <row r="49" spans="1:256">
      <c r="A49" s="48" t="s">
        <v>32</v>
      </c>
      <c r="B49" s="923" t="s">
        <v>33</v>
      </c>
      <c r="C49" s="888" t="s">
        <v>1241</v>
      </c>
      <c r="D49" s="49"/>
      <c r="E49" s="14"/>
      <c r="F49" s="49"/>
      <c r="G49" s="49"/>
      <c r="H49" s="1386"/>
      <c r="I49" s="1386"/>
      <c r="J49" s="1378"/>
      <c r="K49" s="1379"/>
    </row>
    <row r="50" spans="1:256" ht="93" customHeight="1">
      <c r="A50" s="50"/>
      <c r="B50" s="923" t="s">
        <v>34</v>
      </c>
      <c r="D50" s="51" t="s">
        <v>31</v>
      </c>
      <c r="E50" s="14">
        <v>100</v>
      </c>
      <c r="F50" s="804"/>
      <c r="G50" s="47">
        <f>+F50*E50</f>
        <v>0</v>
      </c>
      <c r="H50" s="1378"/>
      <c r="I50" s="1378"/>
      <c r="J50" s="1378"/>
      <c r="K50" s="1379"/>
    </row>
    <row r="51" spans="1:256">
      <c r="H51" s="1380"/>
      <c r="I51" s="1380"/>
      <c r="J51" s="1378"/>
      <c r="K51" s="1379"/>
    </row>
    <row r="52" spans="1:256">
      <c r="A52" s="48" t="s">
        <v>957</v>
      </c>
      <c r="B52" s="923" t="s">
        <v>37</v>
      </c>
      <c r="C52" s="888" t="s">
        <v>1241</v>
      </c>
      <c r="D52" s="49"/>
      <c r="E52" s="14"/>
      <c r="F52" s="49"/>
      <c r="G52" s="49"/>
      <c r="H52" s="1386"/>
      <c r="I52" s="1386"/>
      <c r="J52" s="1378"/>
      <c r="K52" s="1379"/>
    </row>
    <row r="53" spans="1:256" ht="63">
      <c r="A53" s="50"/>
      <c r="B53" s="923" t="s">
        <v>38</v>
      </c>
      <c r="C53" s="843"/>
      <c r="D53" s="51" t="s">
        <v>895</v>
      </c>
      <c r="E53" s="14">
        <v>200</v>
      </c>
      <c r="F53" s="804"/>
      <c r="G53" s="47">
        <f>+F53*E53</f>
        <v>0</v>
      </c>
      <c r="H53" s="1378"/>
      <c r="I53" s="1378"/>
      <c r="J53" s="1378"/>
      <c r="K53" s="1379"/>
    </row>
    <row r="54" spans="1:256">
      <c r="A54" s="2"/>
      <c r="B54" s="53"/>
      <c r="C54" s="843"/>
      <c r="D54" s="2"/>
      <c r="E54" s="52"/>
      <c r="F54" s="53"/>
      <c r="G54" s="53"/>
      <c r="H54" s="1385"/>
      <c r="I54" s="1385"/>
      <c r="J54" s="1378"/>
      <c r="K54" s="1379"/>
    </row>
    <row r="55" spans="1:256" s="29" customFormat="1" ht="15.6" customHeight="1">
      <c r="A55" s="48" t="s">
        <v>959</v>
      </c>
      <c r="B55" s="923" t="s">
        <v>39</v>
      </c>
      <c r="C55" s="888" t="s">
        <v>1241</v>
      </c>
      <c r="D55" s="49"/>
      <c r="E55" s="14"/>
      <c r="F55" s="49"/>
      <c r="G55" s="49"/>
      <c r="H55" s="1386"/>
      <c r="I55" s="1386"/>
      <c r="J55" s="1378"/>
      <c r="K55" s="1379"/>
      <c r="IL55" s="45"/>
      <c r="IM55" s="45"/>
      <c r="IN55" s="45"/>
      <c r="IO55" s="45"/>
      <c r="IP55" s="45"/>
      <c r="IQ55" s="45"/>
      <c r="IR55" s="45"/>
      <c r="IS55" s="45"/>
      <c r="IT55" s="45"/>
      <c r="IU55" s="45"/>
      <c r="IV55" s="45"/>
    </row>
    <row r="56" spans="1:256" s="29" customFormat="1" ht="31.5">
      <c r="A56" s="50"/>
      <c r="B56" s="923" t="s">
        <v>40</v>
      </c>
      <c r="C56" s="843"/>
      <c r="D56" s="51" t="s">
        <v>11</v>
      </c>
      <c r="E56" s="14">
        <v>1</v>
      </c>
      <c r="F56" s="804"/>
      <c r="G56" s="47">
        <f>+F56*E56</f>
        <v>0</v>
      </c>
      <c r="H56" s="1378"/>
      <c r="I56" s="1378"/>
      <c r="J56" s="1378"/>
      <c r="K56" s="1379"/>
      <c r="IL56" s="45"/>
      <c r="IM56" s="45"/>
      <c r="IN56" s="45"/>
      <c r="IO56" s="45"/>
      <c r="IP56" s="45"/>
      <c r="IQ56" s="45"/>
      <c r="IR56" s="45"/>
      <c r="IS56" s="45"/>
      <c r="IT56" s="45"/>
      <c r="IU56" s="45"/>
      <c r="IV56" s="45"/>
    </row>
    <row r="57" spans="1:256">
      <c r="A57" s="2"/>
      <c r="B57" s="53"/>
      <c r="C57" s="843"/>
      <c r="D57" s="2"/>
      <c r="E57" s="52"/>
      <c r="F57" s="53"/>
      <c r="G57" s="53"/>
      <c r="H57" s="1385"/>
      <c r="I57" s="1385"/>
      <c r="J57" s="1378"/>
      <c r="K57" s="1379"/>
    </row>
    <row r="58" spans="1:256">
      <c r="A58" s="48" t="s">
        <v>961</v>
      </c>
      <c r="B58" s="923" t="s">
        <v>41</v>
      </c>
      <c r="C58" s="888" t="s">
        <v>1241</v>
      </c>
      <c r="D58" s="49"/>
      <c r="E58" s="14"/>
      <c r="F58" s="49"/>
      <c r="G58" s="49"/>
      <c r="H58" s="1386"/>
      <c r="I58" s="1386"/>
      <c r="J58" s="1378"/>
      <c r="K58" s="1379"/>
    </row>
    <row r="59" spans="1:256" ht="63">
      <c r="A59" s="50"/>
      <c r="B59" s="923" t="s">
        <v>42</v>
      </c>
      <c r="C59" s="843"/>
      <c r="D59" s="51" t="s">
        <v>11</v>
      </c>
      <c r="E59" s="14">
        <v>20</v>
      </c>
      <c r="F59" s="804"/>
      <c r="G59" s="47">
        <f>+F59*E59</f>
        <v>0</v>
      </c>
      <c r="H59" s="1378"/>
      <c r="I59" s="1378"/>
      <c r="J59" s="1378"/>
      <c r="K59" s="1379"/>
    </row>
    <row r="60" spans="1:256">
      <c r="A60" s="50"/>
      <c r="B60" s="928"/>
      <c r="C60" s="843"/>
      <c r="D60" s="49"/>
      <c r="E60" s="14"/>
      <c r="F60" s="49"/>
      <c r="G60" s="49"/>
      <c r="H60" s="1386"/>
      <c r="I60" s="1386"/>
      <c r="J60" s="1378"/>
      <c r="K60" s="1379"/>
    </row>
    <row r="61" spans="1:256">
      <c r="A61" s="48" t="s">
        <v>963</v>
      </c>
      <c r="B61" s="923" t="s">
        <v>43</v>
      </c>
      <c r="C61" s="888" t="s">
        <v>1241</v>
      </c>
      <c r="D61" s="49"/>
      <c r="E61" s="14"/>
      <c r="F61" s="49"/>
      <c r="G61" s="49"/>
      <c r="H61" s="1386"/>
      <c r="I61" s="1386"/>
      <c r="J61" s="1378"/>
      <c r="K61" s="1379"/>
    </row>
    <row r="62" spans="1:256" ht="47.25">
      <c r="A62" s="50"/>
      <c r="B62" s="923" t="s">
        <v>44</v>
      </c>
      <c r="C62" s="843"/>
      <c r="D62" s="51" t="s">
        <v>895</v>
      </c>
      <c r="E62" s="14">
        <v>300</v>
      </c>
      <c r="F62" s="804"/>
      <c r="G62" s="47">
        <f>+F62*E62</f>
        <v>0</v>
      </c>
      <c r="H62" s="1378"/>
      <c r="I62" s="1378"/>
      <c r="J62" s="1378"/>
      <c r="K62" s="1379"/>
    </row>
    <row r="63" spans="1:256">
      <c r="A63" s="50"/>
      <c r="B63" s="923"/>
      <c r="C63" s="843"/>
      <c r="D63" s="51"/>
      <c r="E63" s="14"/>
      <c r="F63" s="14"/>
      <c r="G63" s="47"/>
      <c r="H63" s="1378"/>
      <c r="I63" s="1378"/>
      <c r="J63" s="1378"/>
      <c r="K63" s="1379"/>
    </row>
    <row r="64" spans="1:256">
      <c r="A64" s="48" t="s">
        <v>964</v>
      </c>
      <c r="B64" s="923" t="s">
        <v>1284</v>
      </c>
      <c r="C64" s="888" t="s">
        <v>1241</v>
      </c>
      <c r="D64" s="49"/>
      <c r="E64" s="14"/>
      <c r="F64" s="49"/>
      <c r="G64" s="47"/>
      <c r="H64" s="1378"/>
      <c r="I64" s="1378"/>
      <c r="J64" s="1378"/>
      <c r="K64" s="1379"/>
    </row>
    <row r="65" spans="1:256" ht="31.5">
      <c r="A65" s="50"/>
      <c r="B65" s="923" t="s">
        <v>1283</v>
      </c>
      <c r="C65" s="843"/>
      <c r="D65" s="32" t="s">
        <v>898</v>
      </c>
      <c r="E65" s="18">
        <v>1</v>
      </c>
      <c r="F65" s="804"/>
      <c r="G65" s="47">
        <f>+F65*E65</f>
        <v>0</v>
      </c>
      <c r="H65" s="1378"/>
      <c r="I65" s="1378"/>
      <c r="J65" s="1378"/>
      <c r="K65" s="1379"/>
    </row>
    <row r="66" spans="1:256">
      <c r="A66" s="50"/>
      <c r="B66" s="923"/>
      <c r="C66" s="843"/>
      <c r="D66" s="51"/>
      <c r="E66" s="14"/>
      <c r="F66" s="14"/>
      <c r="G66" s="14"/>
      <c r="H66" s="1378"/>
      <c r="I66" s="1378"/>
      <c r="J66" s="1378"/>
      <c r="K66" s="1379"/>
    </row>
    <row r="67" spans="1:256">
      <c r="A67" s="50" t="s">
        <v>983</v>
      </c>
      <c r="B67" s="923" t="s">
        <v>1288</v>
      </c>
      <c r="C67" s="888" t="s">
        <v>1293</v>
      </c>
      <c r="D67" s="10"/>
      <c r="E67" s="10"/>
      <c r="F67" s="47"/>
      <c r="G67" s="47"/>
      <c r="H67" s="1378"/>
      <c r="I67" s="1378"/>
      <c r="J67" s="1378"/>
      <c r="K67" s="1379"/>
    </row>
    <row r="68" spans="1:256" ht="31.5">
      <c r="A68" s="50"/>
      <c r="B68" s="923" t="s">
        <v>1289</v>
      </c>
      <c r="C68" s="843"/>
      <c r="D68" s="32" t="s">
        <v>898</v>
      </c>
      <c r="E68" s="18">
        <v>1</v>
      </c>
      <c r="F68" s="804"/>
      <c r="G68" s="47">
        <f>+F68*E68</f>
        <v>0</v>
      </c>
      <c r="H68" s="1378"/>
      <c r="I68" s="1378"/>
      <c r="J68" s="1378"/>
      <c r="K68" s="1379"/>
    </row>
    <row r="69" spans="1:256">
      <c r="A69" s="50"/>
      <c r="B69" s="923"/>
      <c r="C69" s="843"/>
      <c r="D69" s="51"/>
      <c r="E69" s="47"/>
      <c r="F69" s="47"/>
      <c r="G69" s="47"/>
      <c r="H69" s="1378"/>
      <c r="I69" s="1378"/>
      <c r="J69" s="1378"/>
      <c r="K69" s="1379"/>
    </row>
    <row r="70" spans="1:256">
      <c r="A70" s="50" t="s">
        <v>984</v>
      </c>
      <c r="B70" s="923" t="s">
        <v>1290</v>
      </c>
      <c r="C70" s="843" t="s">
        <v>1292</v>
      </c>
      <c r="D70" s="10"/>
      <c r="E70" s="10"/>
      <c r="F70" s="47"/>
      <c r="G70" s="47"/>
      <c r="H70" s="1378"/>
      <c r="I70" s="1378"/>
      <c r="J70" s="1378"/>
      <c r="K70" s="1379"/>
    </row>
    <row r="71" spans="1:256" ht="47.25">
      <c r="A71" s="50"/>
      <c r="B71" s="923" t="s">
        <v>1291</v>
      </c>
      <c r="C71" s="843"/>
      <c r="D71" s="32" t="s">
        <v>898</v>
      </c>
      <c r="E71" s="18">
        <v>1</v>
      </c>
      <c r="F71" s="804"/>
      <c r="G71" s="47">
        <f>+F71*E71</f>
        <v>0</v>
      </c>
      <c r="H71" s="1378"/>
      <c r="I71" s="1378"/>
      <c r="J71" s="1378"/>
      <c r="K71" s="1379"/>
    </row>
    <row r="72" spans="1:256">
      <c r="A72" s="30"/>
      <c r="B72" s="925"/>
      <c r="C72" s="843"/>
      <c r="D72" s="36"/>
      <c r="E72" s="27"/>
      <c r="F72" s="28"/>
      <c r="G72" s="28"/>
      <c r="H72" s="1378"/>
      <c r="I72" s="1378"/>
      <c r="J72" s="1378"/>
      <c r="K72" s="1379"/>
    </row>
    <row r="73" spans="1:256">
      <c r="A73" s="48" t="s">
        <v>762</v>
      </c>
      <c r="B73" s="923" t="s">
        <v>1323</v>
      </c>
      <c r="C73" s="888" t="s">
        <v>1324</v>
      </c>
      <c r="D73" s="49"/>
      <c r="E73" s="14"/>
      <c r="F73" s="49"/>
      <c r="G73" s="49"/>
      <c r="H73" s="1386"/>
      <c r="I73" s="1386"/>
      <c r="J73" s="1378"/>
      <c r="K73" s="1379"/>
    </row>
    <row r="74" spans="1:256" s="60" customFormat="1" ht="31.5">
      <c r="A74" s="50"/>
      <c r="B74" s="923" t="s">
        <v>1325</v>
      </c>
      <c r="C74" s="4"/>
      <c r="D74" s="51" t="s">
        <v>11</v>
      </c>
      <c r="E74" s="14">
        <v>1</v>
      </c>
      <c r="F74" s="804"/>
      <c r="G74" s="47">
        <f>+F74*E74</f>
        <v>0</v>
      </c>
      <c r="H74" s="1387"/>
      <c r="I74" s="1387"/>
      <c r="J74" s="1378"/>
      <c r="K74" s="1379"/>
      <c r="IL74" s="61"/>
      <c r="IM74" s="61"/>
      <c r="IN74" s="61"/>
      <c r="IO74" s="61"/>
      <c r="IP74" s="61"/>
      <c r="IQ74" s="61"/>
      <c r="IR74" s="61"/>
      <c r="IS74" s="61"/>
      <c r="IT74" s="61"/>
      <c r="IU74" s="61"/>
      <c r="IV74" s="61"/>
    </row>
    <row r="75" spans="1:256">
      <c r="A75" s="95"/>
      <c r="B75" s="936" t="s">
        <v>1329</v>
      </c>
      <c r="C75" s="96"/>
      <c r="D75" s="155"/>
      <c r="E75" s="156"/>
      <c r="F75" s="98"/>
      <c r="G75" s="99">
        <f>SUM(G9:G74)</f>
        <v>0</v>
      </c>
      <c r="H75" s="1396"/>
      <c r="I75" s="1396"/>
      <c r="J75" s="1378"/>
      <c r="K75" s="1379"/>
    </row>
    <row r="76" spans="1:256" s="60" customFormat="1">
      <c r="A76" s="4"/>
      <c r="B76" s="918"/>
      <c r="C76" s="4"/>
      <c r="D76" s="4"/>
      <c r="E76" s="4"/>
      <c r="F76" s="4"/>
      <c r="G76" s="4"/>
      <c r="H76" s="1371"/>
      <c r="I76" s="1371"/>
      <c r="J76" s="1378"/>
      <c r="K76" s="1379"/>
      <c r="IL76" s="61"/>
      <c r="IM76" s="61"/>
      <c r="IN76" s="61"/>
      <c r="IO76" s="61"/>
      <c r="IP76" s="61"/>
      <c r="IQ76" s="61"/>
      <c r="IR76" s="61"/>
      <c r="IS76" s="61"/>
      <c r="IT76" s="61"/>
      <c r="IU76" s="61"/>
      <c r="IV76" s="61"/>
    </row>
    <row r="77" spans="1:256">
      <c r="J77" s="1378"/>
      <c r="K77" s="1379"/>
    </row>
    <row r="78" spans="1:256">
      <c r="A78" s="779"/>
      <c r="B78" s="929" t="s">
        <v>1124</v>
      </c>
      <c r="C78" s="788"/>
      <c r="D78" s="785"/>
      <c r="E78" s="781"/>
      <c r="F78" s="782"/>
      <c r="G78" s="783"/>
      <c r="H78" s="1388"/>
      <c r="I78" s="1388"/>
      <c r="J78" s="1378"/>
      <c r="K78" s="1379"/>
    </row>
    <row r="79" spans="1:256">
      <c r="A79" s="1"/>
      <c r="B79" s="1509"/>
      <c r="C79" s="1509"/>
      <c r="D79" s="1509"/>
      <c r="E79" s="1509"/>
      <c r="F79" s="1509"/>
      <c r="G79" s="1509"/>
      <c r="H79" s="1374"/>
      <c r="I79" s="1389"/>
      <c r="J79" s="1378"/>
      <c r="K79" s="1379"/>
    </row>
    <row r="80" spans="1:256" ht="30">
      <c r="A80" s="766" t="s">
        <v>891</v>
      </c>
      <c r="B80" s="920" t="s">
        <v>892</v>
      </c>
      <c r="C80" s="768" t="s">
        <v>894</v>
      </c>
      <c r="D80" s="768" t="s">
        <v>1</v>
      </c>
      <c r="E80" s="769" t="s">
        <v>893</v>
      </c>
      <c r="F80" s="769" t="s">
        <v>1234</v>
      </c>
      <c r="G80" s="769" t="s">
        <v>1233</v>
      </c>
      <c r="H80" s="1375"/>
      <c r="I80" s="1376"/>
      <c r="J80" s="1378"/>
      <c r="K80" s="1379"/>
    </row>
    <row r="81" spans="1:11">
      <c r="A81" s="1"/>
      <c r="B81" s="930"/>
      <c r="C81" s="68"/>
      <c r="D81" s="62"/>
      <c r="E81" s="67"/>
      <c r="F81" s="64"/>
      <c r="G81" s="65"/>
      <c r="H81" s="1390"/>
      <c r="I81" s="1390"/>
      <c r="J81" s="1378"/>
      <c r="K81" s="1379"/>
    </row>
    <row r="82" spans="1:11">
      <c r="A82" s="101"/>
      <c r="B82" s="931" t="s">
        <v>841</v>
      </c>
      <c r="C82" s="1180" t="s">
        <v>1242</v>
      </c>
      <c r="D82" s="102"/>
      <c r="E82" s="1504"/>
      <c r="F82" s="1504"/>
      <c r="G82" s="1504"/>
      <c r="H82" s="1374"/>
      <c r="I82" s="1389"/>
      <c r="J82" s="1378"/>
      <c r="K82" s="1379"/>
    </row>
    <row r="83" spans="1:11">
      <c r="A83" s="75"/>
      <c r="B83" s="932"/>
      <c r="C83" s="103"/>
      <c r="D83" s="83"/>
      <c r="E83" s="67"/>
      <c r="F83" s="82"/>
      <c r="G83" s="104"/>
      <c r="H83" s="1391"/>
      <c r="I83" s="1391"/>
      <c r="J83" s="1378"/>
      <c r="K83" s="1379"/>
    </row>
    <row r="84" spans="1:11">
      <c r="A84" s="75"/>
      <c r="B84" s="932"/>
      <c r="C84" s="103"/>
      <c r="D84" s="83"/>
      <c r="E84" s="67"/>
      <c r="F84" s="82"/>
      <c r="G84" s="104"/>
      <c r="H84" s="1391"/>
      <c r="I84" s="1391"/>
      <c r="J84" s="1378"/>
      <c r="K84" s="1379"/>
    </row>
    <row r="85" spans="1:11" ht="31.5">
      <c r="A85" s="90" t="s">
        <v>47</v>
      </c>
      <c r="B85" s="933" t="s">
        <v>48</v>
      </c>
      <c r="C85" s="888" t="s">
        <v>1243</v>
      </c>
      <c r="D85" s="77" t="s">
        <v>16</v>
      </c>
      <c r="E85" s="105">
        <f>+(0.6+23.3+0.6)*(0.6+7.6+0.6)</f>
        <v>215.6</v>
      </c>
      <c r="F85" s="806"/>
      <c r="G85" s="85">
        <f>F85*E85</f>
        <v>0</v>
      </c>
      <c r="H85" s="1392"/>
      <c r="I85" s="1392"/>
      <c r="J85" s="1378"/>
      <c r="K85" s="1379"/>
    </row>
    <row r="86" spans="1:11">
      <c r="A86" s="92"/>
      <c r="B86" s="934"/>
      <c r="D86" s="93"/>
      <c r="E86" s="84"/>
      <c r="F86" s="85"/>
      <c r="G86" s="85"/>
      <c r="H86" s="1391"/>
      <c r="I86" s="1391"/>
      <c r="J86" s="1378"/>
      <c r="K86" s="1379"/>
    </row>
    <row r="87" spans="1:11" ht="63">
      <c r="A87" s="90" t="s">
        <v>49</v>
      </c>
      <c r="B87" s="935" t="s">
        <v>50</v>
      </c>
      <c r="C87" s="888" t="s">
        <v>1243</v>
      </c>
      <c r="D87" s="87" t="s">
        <v>51</v>
      </c>
      <c r="E87" s="105">
        <f>+(9.56*24.27*0.22)+(1.1+2.06)/2*0.48*2*(23.3+7.6+2.6)</f>
        <v>101.85746399999999</v>
      </c>
      <c r="F87" s="807"/>
      <c r="G87" s="85">
        <f>F87*E87</f>
        <v>0</v>
      </c>
      <c r="H87" s="1393"/>
      <c r="I87" s="1393"/>
      <c r="J87" s="1378"/>
      <c r="K87" s="1379"/>
    </row>
    <row r="88" spans="1:11">
      <c r="A88" s="92"/>
      <c r="B88" s="94"/>
      <c r="D88"/>
      <c r="E88" s="94"/>
      <c r="F88"/>
      <c r="G88"/>
      <c r="H88" s="1394"/>
      <c r="I88" s="1395"/>
      <c r="J88" s="1378"/>
      <c r="K88" s="1379"/>
    </row>
    <row r="89" spans="1:11" ht="78.75">
      <c r="A89" s="90" t="s">
        <v>52</v>
      </c>
      <c r="B89" s="933" t="s">
        <v>53</v>
      </c>
      <c r="C89" s="888" t="s">
        <v>1243</v>
      </c>
      <c r="D89" s="87" t="s">
        <v>51</v>
      </c>
      <c r="E89" s="105">
        <f>0.3*(7*22.7)</f>
        <v>47.67</v>
      </c>
      <c r="F89" s="807"/>
      <c r="G89" s="88">
        <f>F89*E89</f>
        <v>0</v>
      </c>
      <c r="H89" s="1393"/>
      <c r="I89" s="1393"/>
      <c r="J89" s="1378"/>
      <c r="K89" s="1379"/>
    </row>
    <row r="90" spans="1:11">
      <c r="A90" s="92"/>
      <c r="B90" s="94"/>
      <c r="D90"/>
      <c r="E90" s="105"/>
      <c r="F90"/>
      <c r="G90"/>
      <c r="H90" s="1394"/>
      <c r="I90" s="1395"/>
      <c r="J90" s="1378"/>
      <c r="K90" s="1379"/>
    </row>
    <row r="91" spans="1:11" ht="78.75">
      <c r="A91" s="90" t="s">
        <v>54</v>
      </c>
      <c r="B91" s="933" t="s">
        <v>55</v>
      </c>
      <c r="C91" s="888" t="s">
        <v>1243</v>
      </c>
      <c r="D91" s="87" t="s">
        <v>51</v>
      </c>
      <c r="E91" s="105">
        <v>56.74</v>
      </c>
      <c r="F91" s="807"/>
      <c r="G91" s="88">
        <f>F91*E91</f>
        <v>0</v>
      </c>
      <c r="H91" s="1393"/>
      <c r="I91" s="1393"/>
      <c r="J91" s="1378"/>
      <c r="K91" s="1379"/>
    </row>
    <row r="92" spans="1:11">
      <c r="A92" s="92"/>
      <c r="B92" s="94"/>
      <c r="D92"/>
      <c r="E92" s="105"/>
      <c r="F92"/>
      <c r="G92"/>
      <c r="H92" s="1394"/>
      <c r="I92" s="1395"/>
      <c r="J92" s="1378"/>
      <c r="K92" s="1379"/>
    </row>
    <row r="93" spans="1:11" ht="63">
      <c r="A93" s="90" t="s">
        <v>56</v>
      </c>
      <c r="B93" s="935" t="s">
        <v>57</v>
      </c>
      <c r="C93" s="888" t="s">
        <v>1243</v>
      </c>
      <c r="D93" s="87" t="s">
        <v>51</v>
      </c>
      <c r="E93" s="105">
        <v>75.81</v>
      </c>
      <c r="F93" s="807"/>
      <c r="G93" s="88">
        <f>F93*E93</f>
        <v>0</v>
      </c>
      <c r="H93" s="1393"/>
      <c r="I93" s="1393"/>
      <c r="J93" s="1378"/>
      <c r="K93" s="1379"/>
    </row>
    <row r="94" spans="1:11">
      <c r="A94" s="95"/>
      <c r="B94" s="936" t="s">
        <v>58</v>
      </c>
      <c r="C94" s="96"/>
      <c r="D94" s="155"/>
      <c r="E94" s="156"/>
      <c r="F94" s="98"/>
      <c r="G94" s="99">
        <f>SUM(G85:G93)</f>
        <v>0</v>
      </c>
      <c r="H94" s="1396"/>
      <c r="I94" s="1396"/>
      <c r="J94" s="1378"/>
      <c r="K94" s="1379"/>
    </row>
    <row r="95" spans="1:11">
      <c r="A95" s="111"/>
      <c r="B95" s="937"/>
      <c r="C95" s="112"/>
      <c r="D95" s="113"/>
      <c r="E95" s="114"/>
      <c r="F95" s="115"/>
      <c r="G95" s="115"/>
      <c r="H95" s="1391"/>
      <c r="I95" s="1391"/>
      <c r="J95" s="1378"/>
      <c r="K95" s="1379"/>
    </row>
    <row r="96" spans="1:11" ht="47.25">
      <c r="A96" s="69"/>
      <c r="B96" s="948" t="s">
        <v>59</v>
      </c>
      <c r="C96" s="1188" t="s">
        <v>1244</v>
      </c>
      <c r="D96" s="70"/>
      <c r="E96" s="121"/>
      <c r="F96" s="109"/>
      <c r="G96" s="122"/>
      <c r="H96" s="1391"/>
      <c r="I96" s="1391"/>
      <c r="J96" s="1378"/>
      <c r="K96" s="1379"/>
    </row>
    <row r="97" spans="1:11">
      <c r="A97" s="123"/>
      <c r="B97" s="939"/>
      <c r="C97" s="124"/>
      <c r="D97" s="125"/>
      <c r="E97" s="126"/>
      <c r="F97" s="127"/>
      <c r="G97" s="128"/>
      <c r="H97" s="1391"/>
      <c r="I97" s="1391"/>
      <c r="J97" s="1378"/>
      <c r="K97" s="1379"/>
    </row>
    <row r="98" spans="1:11">
      <c r="A98" s="123"/>
      <c r="B98" s="939"/>
      <c r="C98" s="124"/>
      <c r="D98" s="129"/>
      <c r="E98" s="126"/>
      <c r="F98" s="127"/>
      <c r="G98" s="128"/>
      <c r="H98" s="1391"/>
      <c r="I98" s="1391"/>
      <c r="J98" s="1378"/>
      <c r="K98" s="1379"/>
    </row>
    <row r="99" spans="1:11" ht="47.25">
      <c r="A99" s="90" t="s">
        <v>60</v>
      </c>
      <c r="B99" s="933" t="s">
        <v>61</v>
      </c>
      <c r="C99" s="888" t="s">
        <v>1243</v>
      </c>
      <c r="D99" s="77" t="s">
        <v>62</v>
      </c>
      <c r="E99" s="132">
        <v>233.32</v>
      </c>
      <c r="F99" s="807"/>
      <c r="G99" s="88">
        <f>F99*E99</f>
        <v>0</v>
      </c>
      <c r="H99" s="1393"/>
      <c r="I99" s="1393"/>
      <c r="J99" s="1378"/>
      <c r="K99" s="1379"/>
    </row>
    <row r="100" spans="1:11">
      <c r="A100" s="92"/>
      <c r="B100" s="940"/>
      <c r="D100" s="131"/>
      <c r="E100" s="132"/>
      <c r="F100" s="88"/>
      <c r="G100" s="88"/>
      <c r="H100" s="1391"/>
      <c r="I100" s="1391"/>
      <c r="J100" s="1378"/>
      <c r="K100" s="1379"/>
    </row>
    <row r="101" spans="1:11" ht="94.5">
      <c r="A101" s="90" t="s">
        <v>63</v>
      </c>
      <c r="B101" s="941" t="s">
        <v>64</v>
      </c>
      <c r="C101" s="888" t="s">
        <v>1243</v>
      </c>
      <c r="D101" s="77" t="s">
        <v>19</v>
      </c>
      <c r="E101" s="135">
        <f>+((0.8*0.35)+(0.65*0.3))*2*(23.3+7+2.6)</f>
        <v>31.254999999999995</v>
      </c>
      <c r="F101" s="807"/>
      <c r="G101" s="88">
        <f>F101*E101</f>
        <v>0</v>
      </c>
      <c r="H101" s="1393"/>
      <c r="I101" s="1393"/>
      <c r="J101" s="1378"/>
      <c r="K101" s="1379"/>
    </row>
    <row r="102" spans="1:11">
      <c r="A102" s="92"/>
      <c r="B102" s="940"/>
      <c r="D102" s="134"/>
      <c r="E102" s="132"/>
      <c r="F102" s="88"/>
      <c r="G102" s="88"/>
      <c r="H102" s="1391"/>
      <c r="I102" s="1391"/>
      <c r="J102" s="1378"/>
      <c r="K102" s="1379"/>
    </row>
    <row r="103" spans="1:11" ht="70.5" customHeight="1">
      <c r="A103" s="90" t="s">
        <v>65</v>
      </c>
      <c r="B103" s="933" t="s">
        <v>66</v>
      </c>
      <c r="C103" s="888" t="s">
        <v>1243</v>
      </c>
      <c r="D103" s="77" t="s">
        <v>72</v>
      </c>
      <c r="E103" s="137">
        <f>+(23.3*7.6)*0.2</f>
        <v>35.415999999999997</v>
      </c>
      <c r="F103" s="807"/>
      <c r="G103" s="88">
        <f>F103*E103</f>
        <v>0</v>
      </c>
      <c r="H103" s="1393"/>
      <c r="I103" s="1393"/>
      <c r="J103" s="1378"/>
      <c r="K103" s="1379"/>
    </row>
    <row r="104" spans="1:11">
      <c r="A104" s="136"/>
      <c r="B104" s="940"/>
      <c r="D104" s="134"/>
      <c r="E104" s="132"/>
      <c r="F104" s="88"/>
      <c r="G104" s="88"/>
      <c r="H104" s="1391"/>
      <c r="I104" s="1391"/>
      <c r="J104" s="1378"/>
      <c r="K104" s="1379"/>
    </row>
    <row r="105" spans="1:11" ht="63">
      <c r="A105" s="90" t="s">
        <v>56</v>
      </c>
      <c r="B105" s="942" t="s">
        <v>67</v>
      </c>
      <c r="C105" s="888" t="s">
        <v>1243</v>
      </c>
      <c r="D105" s="77" t="s">
        <v>72</v>
      </c>
      <c r="E105" s="138">
        <f>0.2*((23.3*7.6)+(1*3.3))-0.2*3.35*2.7</f>
        <v>34.267000000000003</v>
      </c>
      <c r="F105" s="808"/>
      <c r="G105" s="88">
        <f>F105*E105</f>
        <v>0</v>
      </c>
      <c r="H105" s="1397"/>
      <c r="I105" s="1397"/>
      <c r="J105" s="1378"/>
      <c r="K105" s="1379"/>
    </row>
    <row r="106" spans="1:11">
      <c r="A106" s="136"/>
      <c r="B106" s="940"/>
      <c r="D106" s="134"/>
      <c r="E106" s="132"/>
      <c r="F106" s="88"/>
      <c r="G106" s="88"/>
      <c r="H106" s="1391"/>
      <c r="I106" s="1391"/>
      <c r="J106" s="1378"/>
      <c r="K106" s="1379"/>
    </row>
    <row r="107" spans="1:11" ht="63">
      <c r="A107" s="140" t="s">
        <v>68</v>
      </c>
      <c r="B107" s="942" t="s">
        <v>69</v>
      </c>
      <c r="C107" s="888" t="s">
        <v>1243</v>
      </c>
      <c r="D107" s="77" t="s">
        <v>72</v>
      </c>
      <c r="E107" s="138">
        <f>0.2*((23.3*7.6)+(1*3.3))</f>
        <v>36.076000000000001</v>
      </c>
      <c r="F107" s="808"/>
      <c r="G107" s="88">
        <f>F107*E107</f>
        <v>0</v>
      </c>
      <c r="H107" s="1397"/>
      <c r="I107" s="1397"/>
      <c r="J107" s="1378"/>
      <c r="K107" s="1379"/>
    </row>
    <row r="108" spans="1:11">
      <c r="A108" s="136"/>
      <c r="B108" s="940"/>
      <c r="D108" s="134"/>
      <c r="E108" s="132"/>
      <c r="F108" s="88"/>
      <c r="G108" s="88"/>
      <c r="H108" s="1391"/>
      <c r="I108" s="1391"/>
      <c r="J108" s="1378"/>
      <c r="K108" s="1379"/>
    </row>
    <row r="109" spans="1:11" ht="94.5">
      <c r="A109" s="90" t="s">
        <v>70</v>
      </c>
      <c r="B109" s="943" t="s">
        <v>71</v>
      </c>
      <c r="C109" s="888" t="s">
        <v>1243</v>
      </c>
      <c r="D109" s="77" t="s">
        <v>72</v>
      </c>
      <c r="E109" s="105">
        <f>0.3*0.3*5*(7.4+8.386)</f>
        <v>7.103699999999999</v>
      </c>
      <c r="F109" s="807"/>
      <c r="G109" s="88">
        <f>F109*E109</f>
        <v>0</v>
      </c>
      <c r="H109" s="1393"/>
      <c r="I109" s="1393"/>
      <c r="J109" s="1378"/>
      <c r="K109" s="1379"/>
    </row>
    <row r="110" spans="1:11">
      <c r="A110" s="136"/>
      <c r="B110" s="940"/>
      <c r="D110" s="134"/>
      <c r="E110" s="105"/>
      <c r="F110" s="88"/>
      <c r="G110" s="88"/>
      <c r="H110" s="1391"/>
      <c r="I110" s="1391"/>
      <c r="J110" s="1378"/>
      <c r="K110" s="1379"/>
    </row>
    <row r="111" spans="1:11" ht="63">
      <c r="A111" s="90" t="s">
        <v>73</v>
      </c>
      <c r="B111" s="942" t="s">
        <v>74</v>
      </c>
      <c r="C111" s="888" t="s">
        <v>1243</v>
      </c>
      <c r="D111" s="77" t="s">
        <v>72</v>
      </c>
      <c r="E111" s="105">
        <f>+(2.5+2.6+2.9+2)*7.4*0.2</f>
        <v>14.8</v>
      </c>
      <c r="F111" s="808"/>
      <c r="G111" s="88">
        <f>F111*E111</f>
        <v>0</v>
      </c>
      <c r="H111" s="1397"/>
      <c r="I111" s="1397"/>
      <c r="J111" s="1378"/>
      <c r="K111" s="1379"/>
    </row>
    <row r="112" spans="1:11">
      <c r="A112" s="136"/>
      <c r="B112" s="940"/>
      <c r="D112" s="134"/>
      <c r="E112" s="105"/>
      <c r="F112" s="88"/>
      <c r="G112" s="88"/>
      <c r="H112" s="1391"/>
      <c r="I112" s="1391"/>
      <c r="J112" s="1378"/>
      <c r="K112" s="1379"/>
    </row>
    <row r="113" spans="1:11" ht="78.75">
      <c r="A113" s="90" t="s">
        <v>22</v>
      </c>
      <c r="B113" s="944" t="s">
        <v>75</v>
      </c>
      <c r="C113" s="888" t="s">
        <v>1243</v>
      </c>
      <c r="D113" s="77" t="s">
        <v>72</v>
      </c>
      <c r="E113" s="105">
        <v>2.67</v>
      </c>
      <c r="F113" s="808"/>
      <c r="G113" s="88">
        <f>F113*E113</f>
        <v>0</v>
      </c>
      <c r="H113" s="1397"/>
      <c r="I113" s="1397"/>
      <c r="J113" s="1378"/>
      <c r="K113" s="1379"/>
    </row>
    <row r="114" spans="1:11">
      <c r="A114" s="136"/>
      <c r="B114" s="940"/>
      <c r="D114" s="134"/>
      <c r="E114" s="132"/>
      <c r="F114" s="88"/>
      <c r="G114" s="88"/>
      <c r="H114" s="1391"/>
      <c r="I114" s="1391"/>
      <c r="J114" s="1378"/>
      <c r="K114" s="1379"/>
    </row>
    <row r="115" spans="1:11" ht="63">
      <c r="A115" s="90" t="s">
        <v>23</v>
      </c>
      <c r="B115" s="933" t="s">
        <v>76</v>
      </c>
      <c r="C115" s="888" t="s">
        <v>1243</v>
      </c>
      <c r="D115" s="77" t="s">
        <v>72</v>
      </c>
      <c r="E115" s="151">
        <v>2.88</v>
      </c>
      <c r="F115" s="807"/>
      <c r="G115" s="88">
        <f>F115*E115</f>
        <v>0</v>
      </c>
      <c r="H115" s="1393"/>
      <c r="I115" s="1393"/>
      <c r="J115" s="1378"/>
      <c r="K115" s="1379"/>
    </row>
    <row r="116" spans="1:11">
      <c r="A116" s="92"/>
      <c r="B116" s="940"/>
      <c r="D116" s="134"/>
      <c r="E116" s="107"/>
      <c r="F116" s="88"/>
      <c r="G116" s="88"/>
      <c r="H116" s="1391"/>
      <c r="I116" s="1391"/>
      <c r="J116" s="1378"/>
      <c r="K116" s="1379"/>
    </row>
    <row r="117" spans="1:11" ht="78.75">
      <c r="A117" s="90" t="s">
        <v>77</v>
      </c>
      <c r="B117" s="945" t="s">
        <v>78</v>
      </c>
      <c r="C117" s="888" t="s">
        <v>1243</v>
      </c>
      <c r="D117" s="77" t="s">
        <v>72</v>
      </c>
      <c r="E117" s="152">
        <f>0.15*0.93*0.47</f>
        <v>6.5564999999999998E-2</v>
      </c>
      <c r="F117" s="807"/>
      <c r="G117" s="64">
        <f>F117*E117</f>
        <v>0</v>
      </c>
      <c r="H117" s="1393"/>
      <c r="I117" s="1393"/>
      <c r="J117" s="1378"/>
      <c r="K117" s="1379"/>
    </row>
    <row r="118" spans="1:11">
      <c r="A118" s="92"/>
      <c r="B118" s="86"/>
      <c r="C118" s="822"/>
      <c r="D118" s="134"/>
      <c r="E118" s="132"/>
      <c r="F118" s="88"/>
      <c r="G118" s="88"/>
      <c r="H118" s="1391"/>
      <c r="I118" s="1391"/>
      <c r="J118" s="1378"/>
      <c r="K118" s="1379"/>
    </row>
    <row r="119" spans="1:11" ht="110.25">
      <c r="A119" s="90" t="s">
        <v>28</v>
      </c>
      <c r="B119" s="945" t="s">
        <v>79</v>
      </c>
      <c r="C119" s="888" t="s">
        <v>1243</v>
      </c>
      <c r="D119" s="77" t="s">
        <v>72</v>
      </c>
      <c r="E119" s="154">
        <v>0.4</v>
      </c>
      <c r="F119" s="807"/>
      <c r="G119" s="64">
        <f>+F119*E119</f>
        <v>0</v>
      </c>
      <c r="H119" s="1393"/>
      <c r="I119" s="1393"/>
      <c r="J119" s="1378"/>
      <c r="K119" s="1379"/>
    </row>
    <row r="120" spans="1:11">
      <c r="A120" s="95"/>
      <c r="B120" s="936" t="s">
        <v>80</v>
      </c>
      <c r="C120" s="96"/>
      <c r="D120" s="155"/>
      <c r="E120" s="156"/>
      <c r="F120" s="98"/>
      <c r="G120" s="99">
        <f>SUM(G99:G119)</f>
        <v>0</v>
      </c>
      <c r="H120" s="1396"/>
      <c r="I120" s="1396"/>
      <c r="J120" s="1378"/>
      <c r="K120" s="1379"/>
    </row>
    <row r="121" spans="1:11">
      <c r="A121" s="116"/>
      <c r="B121" s="946"/>
      <c r="C121" s="117"/>
      <c r="D121" s="118"/>
      <c r="E121" s="119"/>
      <c r="F121" s="115"/>
      <c r="G121" s="120"/>
      <c r="H121" s="1391"/>
      <c r="I121" s="1391"/>
      <c r="J121" s="1378"/>
      <c r="K121" s="1379"/>
    </row>
    <row r="122" spans="1:11">
      <c r="A122" s="157"/>
      <c r="B122" s="938" t="s">
        <v>81</v>
      </c>
      <c r="C122" s="1188" t="s">
        <v>1244</v>
      </c>
      <c r="D122" s="158"/>
      <c r="E122" s="159"/>
      <c r="F122" s="160"/>
      <c r="G122" s="161"/>
      <c r="H122" s="1391"/>
      <c r="I122" s="1391"/>
      <c r="J122" s="1378"/>
      <c r="K122" s="1379"/>
    </row>
    <row r="123" spans="1:11">
      <c r="A123" s="163"/>
      <c r="B123" s="947"/>
      <c r="C123" s="164"/>
      <c r="D123" s="165"/>
      <c r="E123" s="166"/>
      <c r="F123" s="167"/>
      <c r="G123" s="168"/>
      <c r="H123" s="1391"/>
      <c r="I123" s="1391"/>
      <c r="J123" s="1378"/>
      <c r="K123" s="1379"/>
    </row>
    <row r="124" spans="1:11" ht="63">
      <c r="A124" s="90" t="s">
        <v>60</v>
      </c>
      <c r="B124" s="933" t="s">
        <v>82</v>
      </c>
      <c r="C124" s="888" t="s">
        <v>1243</v>
      </c>
      <c r="D124" s="77" t="s">
        <v>83</v>
      </c>
      <c r="E124" s="150">
        <f>+(31.26+35.42+34.27+36.08+7.1+14.8+2.67+2.88+0.07+0.4)*130</f>
        <v>21443.500000000004</v>
      </c>
      <c r="F124" s="807"/>
      <c r="G124" s="88">
        <f>F124*E124</f>
        <v>0</v>
      </c>
      <c r="H124" s="1393"/>
      <c r="I124" s="1393"/>
      <c r="J124" s="1378"/>
      <c r="K124" s="1379"/>
    </row>
    <row r="125" spans="1:11">
      <c r="A125" s="95"/>
      <c r="B125" s="936" t="s">
        <v>84</v>
      </c>
      <c r="C125" s="96"/>
      <c r="D125" s="155"/>
      <c r="E125" s="156"/>
      <c r="F125" s="98"/>
      <c r="G125" s="99">
        <f>SUM(G124:G124)</f>
        <v>0</v>
      </c>
      <c r="H125" s="1396"/>
      <c r="I125" s="1396"/>
      <c r="J125" s="1378"/>
      <c r="K125" s="1379"/>
    </row>
    <row r="126" spans="1:11">
      <c r="A126" s="116"/>
      <c r="B126" s="946"/>
      <c r="C126" s="117"/>
      <c r="D126" s="118"/>
      <c r="E126" s="119"/>
      <c r="F126" s="115"/>
      <c r="G126" s="120"/>
      <c r="H126" s="1391"/>
      <c r="I126" s="1391"/>
      <c r="J126" s="1378"/>
      <c r="K126" s="1379"/>
    </row>
    <row r="127" spans="1:11">
      <c r="A127" s="169"/>
      <c r="B127" s="948" t="s">
        <v>85</v>
      </c>
      <c r="C127" s="1188" t="s">
        <v>1244</v>
      </c>
      <c r="D127" s="70"/>
      <c r="E127" s="170"/>
      <c r="F127" s="171"/>
      <c r="G127" s="172"/>
      <c r="H127" s="1398"/>
      <c r="I127" s="1398"/>
      <c r="J127" s="1378"/>
      <c r="K127" s="1379"/>
    </row>
    <row r="128" spans="1:11">
      <c r="A128" s="162"/>
      <c r="B128" s="949"/>
      <c r="C128" s="175"/>
      <c r="D128" s="176"/>
      <c r="E128" s="105"/>
      <c r="F128" s="177"/>
      <c r="G128" s="177"/>
      <c r="H128" s="1398"/>
      <c r="I128" s="1398"/>
      <c r="J128" s="1378"/>
      <c r="K128" s="1379"/>
    </row>
    <row r="129" spans="1:11" ht="94.5">
      <c r="A129" s="178">
        <v>1</v>
      </c>
      <c r="B129" s="950" t="s">
        <v>86</v>
      </c>
      <c r="C129" s="888" t="s">
        <v>1243</v>
      </c>
      <c r="D129" s="77" t="s">
        <v>87</v>
      </c>
      <c r="E129" s="105">
        <v>8.4600000000000009</v>
      </c>
      <c r="F129" s="807"/>
      <c r="G129" s="85">
        <f>F129*E129</f>
        <v>0</v>
      </c>
      <c r="H129" s="1393"/>
      <c r="I129" s="1393"/>
      <c r="J129" s="1378"/>
      <c r="K129" s="1379"/>
    </row>
    <row r="130" spans="1:11">
      <c r="A130" s="180"/>
      <c r="B130" s="951"/>
      <c r="D130" s="134"/>
      <c r="E130" s="105"/>
      <c r="F130" s="88"/>
      <c r="G130" s="88"/>
      <c r="H130" s="1391"/>
      <c r="I130" s="1391"/>
      <c r="J130" s="1378"/>
      <c r="K130" s="1379"/>
    </row>
    <row r="131" spans="1:11" ht="63">
      <c r="A131" s="178">
        <v>2</v>
      </c>
      <c r="B131" s="950" t="s">
        <v>88</v>
      </c>
      <c r="C131" s="888" t="s">
        <v>1243</v>
      </c>
      <c r="D131" s="77" t="s">
        <v>87</v>
      </c>
      <c r="E131" s="105">
        <v>43.18</v>
      </c>
      <c r="F131" s="807"/>
      <c r="G131" s="85">
        <f>F131*E131</f>
        <v>0</v>
      </c>
      <c r="H131" s="1393"/>
      <c r="I131" s="1393"/>
      <c r="J131" s="1378"/>
      <c r="K131" s="1379"/>
    </row>
    <row r="132" spans="1:11">
      <c r="A132" s="180"/>
      <c r="B132" s="951"/>
      <c r="D132" s="134"/>
      <c r="E132" s="107"/>
      <c r="F132" s="88"/>
      <c r="G132" s="88"/>
      <c r="H132" s="1391"/>
      <c r="I132" s="1391"/>
      <c r="J132" s="1378"/>
      <c r="K132" s="1379"/>
    </row>
    <row r="133" spans="1:11" ht="63">
      <c r="A133" s="178">
        <v>3</v>
      </c>
      <c r="B133" s="950" t="s">
        <v>89</v>
      </c>
      <c r="C133" s="888" t="s">
        <v>1243</v>
      </c>
      <c r="D133" s="77" t="s">
        <v>87</v>
      </c>
      <c r="E133" s="105">
        <f>0.75*3.52</f>
        <v>2.64</v>
      </c>
      <c r="F133" s="807"/>
      <c r="G133" s="85">
        <f>F133*E133</f>
        <v>0</v>
      </c>
      <c r="H133" s="1393"/>
      <c r="I133" s="1393"/>
      <c r="J133" s="1378"/>
      <c r="K133" s="1379"/>
    </row>
    <row r="134" spans="1:11">
      <c r="A134" s="180"/>
      <c r="B134" s="951"/>
      <c r="D134" s="134"/>
      <c r="E134" s="107"/>
      <c r="F134" s="85"/>
      <c r="G134" s="85"/>
      <c r="H134" s="1391"/>
      <c r="I134" s="1391"/>
      <c r="J134" s="1378"/>
      <c r="K134" s="1379"/>
    </row>
    <row r="135" spans="1:11" ht="47.25">
      <c r="A135" s="178">
        <v>4</v>
      </c>
      <c r="B135" s="950" t="s">
        <v>90</v>
      </c>
      <c r="C135" s="888" t="s">
        <v>1243</v>
      </c>
      <c r="D135" s="77" t="s">
        <v>87</v>
      </c>
      <c r="E135" s="105">
        <f>0.93*(3.52-1.15)</f>
        <v>2.2041000000000004</v>
      </c>
      <c r="F135" s="807"/>
      <c r="G135" s="85">
        <f>F135*E135</f>
        <v>0</v>
      </c>
      <c r="H135" s="1393"/>
      <c r="I135" s="1393"/>
      <c r="J135" s="1378"/>
      <c r="K135" s="1379"/>
    </row>
    <row r="136" spans="1:11">
      <c r="A136" s="180"/>
      <c r="B136" s="951"/>
      <c r="D136" s="134"/>
      <c r="E136" s="107"/>
      <c r="F136" s="88"/>
      <c r="G136" s="88"/>
      <c r="H136" s="1391"/>
      <c r="I136" s="1391"/>
      <c r="J136" s="1378"/>
      <c r="K136" s="1379"/>
    </row>
    <row r="137" spans="1:11" ht="47.25">
      <c r="A137" s="178">
        <v>5</v>
      </c>
      <c r="B137" s="993" t="s">
        <v>91</v>
      </c>
      <c r="C137" s="888" t="s">
        <v>1243</v>
      </c>
      <c r="D137" s="77" t="s">
        <v>87</v>
      </c>
      <c r="E137" s="150">
        <f>+(6.02+3.2+2+0.47+1.05+0.96)*2*3.52+(2.74*3.35)</f>
        <v>105.627</v>
      </c>
      <c r="F137" s="807"/>
      <c r="G137" s="85">
        <f>F137*E137</f>
        <v>0</v>
      </c>
      <c r="H137" s="1393"/>
      <c r="I137" s="1393"/>
      <c r="J137" s="1378"/>
      <c r="K137" s="1379"/>
    </row>
    <row r="138" spans="1:11">
      <c r="A138" s="180"/>
      <c r="B138" s="951"/>
      <c r="D138" s="134"/>
      <c r="E138" s="107"/>
      <c r="F138" s="183"/>
      <c r="G138" s="183"/>
      <c r="H138" s="1399"/>
      <c r="I138" s="1400"/>
      <c r="J138" s="1378"/>
      <c r="K138" s="1379"/>
    </row>
    <row r="139" spans="1:11" ht="47.25">
      <c r="A139" s="178" t="s">
        <v>92</v>
      </c>
      <c r="B139" s="993" t="s">
        <v>93</v>
      </c>
      <c r="C139" s="888" t="s">
        <v>1243</v>
      </c>
      <c r="D139" s="77" t="s">
        <v>87</v>
      </c>
      <c r="E139" s="107">
        <v>138.05099999999999</v>
      </c>
      <c r="F139" s="807"/>
      <c r="G139" s="85">
        <f>E139*F139</f>
        <v>0</v>
      </c>
      <c r="H139" s="1393"/>
      <c r="I139" s="1393"/>
      <c r="J139" s="1378"/>
      <c r="K139" s="1379"/>
    </row>
    <row r="140" spans="1:11">
      <c r="A140" s="180"/>
      <c r="B140" s="951"/>
      <c r="D140" s="134"/>
      <c r="E140" s="107"/>
      <c r="F140" s="183"/>
      <c r="G140" s="183"/>
      <c r="H140" s="1399"/>
      <c r="I140" s="1400"/>
      <c r="J140" s="1378"/>
      <c r="K140" s="1379"/>
    </row>
    <row r="141" spans="1:11" ht="94.5">
      <c r="A141" s="90" t="s">
        <v>73</v>
      </c>
      <c r="B141" s="182" t="s">
        <v>94</v>
      </c>
      <c r="C141" s="888" t="s">
        <v>1243</v>
      </c>
      <c r="D141" s="77" t="s">
        <v>87</v>
      </c>
      <c r="E141" s="105">
        <f>+((1.81+1.05+1.1)*1.2+(1.2*0.3)*2+(1.2*1.2/2)*8)</f>
        <v>11.231999999999999</v>
      </c>
      <c r="F141" s="807"/>
      <c r="G141" s="85">
        <f>F141*E141</f>
        <v>0</v>
      </c>
      <c r="H141" s="1393"/>
      <c r="I141" s="1393"/>
      <c r="J141" s="1378"/>
      <c r="K141" s="1379"/>
    </row>
    <row r="142" spans="1:11">
      <c r="A142" s="180"/>
      <c r="B142" s="951"/>
      <c r="D142" s="134"/>
      <c r="E142" s="105"/>
      <c r="F142" s="183"/>
      <c r="G142" s="183"/>
      <c r="H142" s="1399"/>
      <c r="I142" s="1400"/>
      <c r="J142" s="1378"/>
      <c r="K142" s="1379"/>
    </row>
    <row r="143" spans="1:11" ht="63">
      <c r="A143" s="178">
        <v>7</v>
      </c>
      <c r="B143" s="953" t="s">
        <v>95</v>
      </c>
      <c r="C143" s="888" t="s">
        <v>1243</v>
      </c>
      <c r="D143" s="77" t="s">
        <v>87</v>
      </c>
      <c r="E143" s="105">
        <v>186.83</v>
      </c>
      <c r="F143" s="807"/>
      <c r="G143" s="88">
        <f>F143*E143</f>
        <v>0</v>
      </c>
      <c r="H143" s="1393"/>
      <c r="I143" s="1393"/>
      <c r="J143" s="1378"/>
      <c r="K143" s="1379"/>
    </row>
    <row r="144" spans="1:11">
      <c r="A144" s="92"/>
      <c r="B144" s="954"/>
      <c r="C144" s="845"/>
      <c r="D144" s="134"/>
      <c r="E144" s="105"/>
      <c r="F144" s="85"/>
      <c r="G144" s="85"/>
      <c r="H144" s="1391"/>
      <c r="I144" s="1391"/>
      <c r="J144" s="1378"/>
      <c r="K144" s="1379"/>
    </row>
    <row r="145" spans="1:11" ht="47.25">
      <c r="A145" s="90" t="s">
        <v>96</v>
      </c>
      <c r="B145" s="955" t="s">
        <v>97</v>
      </c>
      <c r="C145" s="888" t="s">
        <v>1243</v>
      </c>
      <c r="D145" s="77" t="s">
        <v>87</v>
      </c>
      <c r="E145" s="105">
        <v>133.83000000000001</v>
      </c>
      <c r="F145" s="807"/>
      <c r="G145" s="88">
        <f>F145*E145</f>
        <v>0</v>
      </c>
      <c r="H145" s="1393"/>
      <c r="I145" s="1393"/>
      <c r="J145" s="1378"/>
      <c r="K145" s="1379"/>
    </row>
    <row r="146" spans="1:11">
      <c r="A146" s="95"/>
      <c r="B146" s="936" t="s">
        <v>98</v>
      </c>
      <c r="C146" s="846"/>
      <c r="D146" s="155"/>
      <c r="E146" s="156"/>
      <c r="F146" s="98"/>
      <c r="G146" s="99">
        <f>SUM(G129:G145)</f>
        <v>0</v>
      </c>
      <c r="H146" s="1396"/>
      <c r="I146" s="1396"/>
      <c r="J146" s="1378"/>
      <c r="K146" s="1379"/>
    </row>
    <row r="147" spans="1:11">
      <c r="A147" s="116"/>
      <c r="B147" s="956"/>
      <c r="C147" s="847"/>
      <c r="D147" s="186"/>
      <c r="E147" s="187"/>
      <c r="F147" s="120"/>
      <c r="G147" s="120"/>
      <c r="H147" s="1390"/>
      <c r="I147" s="1390"/>
      <c r="J147" s="1378"/>
      <c r="K147" s="1379"/>
    </row>
    <row r="148" spans="1:11">
      <c r="A148" s="188"/>
      <c r="B148" s="931" t="s">
        <v>99</v>
      </c>
      <c r="C148" s="1188" t="s">
        <v>1244</v>
      </c>
      <c r="D148" s="1188"/>
      <c r="E148" s="71"/>
      <c r="F148" s="171"/>
      <c r="G148" s="110"/>
      <c r="H148" s="1398"/>
      <c r="I148" s="1398"/>
      <c r="J148" s="1378"/>
      <c r="K148" s="1379"/>
    </row>
    <row r="149" spans="1:11">
      <c r="A149" s="180"/>
      <c r="B149" s="957"/>
      <c r="C149" s="848"/>
      <c r="D149" s="190"/>
      <c r="E149" s="191"/>
      <c r="F149" s="174"/>
      <c r="G149" s="174"/>
      <c r="H149" s="1398"/>
      <c r="I149" s="1398"/>
      <c r="J149" s="1378"/>
      <c r="K149" s="1379"/>
    </row>
    <row r="150" spans="1:11" ht="157.5">
      <c r="A150" s="178">
        <v>1</v>
      </c>
      <c r="B150" s="958" t="s">
        <v>100</v>
      </c>
      <c r="C150" s="888" t="s">
        <v>1243</v>
      </c>
      <c r="D150" s="77" t="s">
        <v>83</v>
      </c>
      <c r="E150" s="105">
        <f>350*7</f>
        <v>2450</v>
      </c>
      <c r="F150" s="807"/>
      <c r="G150" s="88">
        <f>F150*E150</f>
        <v>0</v>
      </c>
      <c r="H150" s="1393"/>
      <c r="I150" s="1393"/>
      <c r="J150" s="1378"/>
      <c r="K150" s="1379"/>
    </row>
    <row r="151" spans="1:11">
      <c r="A151" s="193"/>
      <c r="B151" s="934"/>
      <c r="D151" s="180"/>
      <c r="E151" s="105"/>
      <c r="F151" s="88"/>
      <c r="G151" s="88"/>
      <c r="H151" s="1391"/>
      <c r="I151" s="1391"/>
      <c r="J151" s="1378"/>
      <c r="K151" s="1379"/>
    </row>
    <row r="152" spans="1:11" ht="63">
      <c r="A152" s="178">
        <v>2</v>
      </c>
      <c r="B152" s="944" t="s">
        <v>101</v>
      </c>
      <c r="C152" s="888" t="s">
        <v>1243</v>
      </c>
      <c r="D152" s="77" t="s">
        <v>83</v>
      </c>
      <c r="E152" s="105">
        <f>10*15</f>
        <v>150</v>
      </c>
      <c r="F152" s="807"/>
      <c r="G152" s="88">
        <f>F152*E152</f>
        <v>0</v>
      </c>
      <c r="H152" s="1393"/>
      <c r="I152" s="1393"/>
      <c r="J152" s="1378"/>
      <c r="K152" s="1379"/>
    </row>
    <row r="153" spans="1:11">
      <c r="A153" s="194"/>
      <c r="B153" s="936" t="s">
        <v>102</v>
      </c>
      <c r="C153" s="846"/>
      <c r="D153" s="195"/>
      <c r="E153" s="196"/>
      <c r="F153" s="197"/>
      <c r="G153" s="99">
        <f>SUM(G150:G152)</f>
        <v>0</v>
      </c>
      <c r="H153" s="1401"/>
      <c r="I153" s="1401"/>
      <c r="J153" s="1378"/>
      <c r="K153" s="1379"/>
    </row>
    <row r="154" spans="1:11">
      <c r="A154" s="116"/>
      <c r="B154" s="956"/>
      <c r="C154" s="847"/>
      <c r="D154" s="186"/>
      <c r="E154" s="187"/>
      <c r="F154" s="120"/>
      <c r="G154" s="120"/>
      <c r="H154" s="1390"/>
      <c r="I154" s="1390"/>
      <c r="J154" s="1378"/>
      <c r="K154" s="1379"/>
    </row>
    <row r="155" spans="1:11">
      <c r="A155" s="69"/>
      <c r="B155" s="948" t="s">
        <v>103</v>
      </c>
      <c r="C155" s="1188" t="s">
        <v>1244</v>
      </c>
      <c r="D155" s="70"/>
      <c r="E155" s="121"/>
      <c r="F155" s="109"/>
      <c r="G155" s="122"/>
      <c r="H155" s="1391"/>
      <c r="I155" s="1391"/>
      <c r="J155" s="1378"/>
      <c r="K155" s="1379"/>
    </row>
    <row r="156" spans="1:11">
      <c r="A156" s="198"/>
      <c r="B156" s="959"/>
      <c r="C156" s="849"/>
      <c r="D156" s="200"/>
      <c r="E156" s="201"/>
      <c r="F156" s="199"/>
      <c r="G156" s="199"/>
      <c r="H156" s="1402"/>
      <c r="I156" s="1403"/>
      <c r="J156" s="1378"/>
      <c r="K156" s="1379"/>
    </row>
    <row r="157" spans="1:11" ht="94.5">
      <c r="A157" s="90" t="s">
        <v>60</v>
      </c>
      <c r="B157" s="944" t="s">
        <v>104</v>
      </c>
      <c r="C157" s="888" t="s">
        <v>1243</v>
      </c>
      <c r="D157" s="77" t="s">
        <v>87</v>
      </c>
      <c r="E157" s="105">
        <v>280.89999999999998</v>
      </c>
      <c r="F157" s="807"/>
      <c r="G157" s="82">
        <f>F157*E157</f>
        <v>0</v>
      </c>
      <c r="H157" s="1393"/>
      <c r="I157" s="1393"/>
      <c r="J157" s="1378"/>
      <c r="K157" s="1379"/>
    </row>
    <row r="158" spans="1:11">
      <c r="A158" s="75"/>
      <c r="B158" s="951"/>
      <c r="C158" s="456"/>
      <c r="D158" s="83"/>
      <c r="E158" s="105"/>
      <c r="F158" s="105"/>
      <c r="G158" s="82"/>
      <c r="H158" s="1391"/>
      <c r="I158" s="1391"/>
      <c r="J158" s="1378"/>
      <c r="K158" s="1379"/>
    </row>
    <row r="159" spans="1:11" ht="47.25">
      <c r="A159" s="90">
        <v>2</v>
      </c>
      <c r="B159" s="960" t="s">
        <v>105</v>
      </c>
      <c r="C159" s="888" t="s">
        <v>1243</v>
      </c>
      <c r="D159" s="77" t="s">
        <v>87</v>
      </c>
      <c r="E159" s="105">
        <v>26.51</v>
      </c>
      <c r="F159" s="807"/>
      <c r="G159" s="82">
        <f>F159*E159</f>
        <v>0</v>
      </c>
      <c r="H159" s="1393"/>
      <c r="I159" s="1393"/>
      <c r="J159" s="1378"/>
      <c r="K159" s="1379"/>
    </row>
    <row r="160" spans="1:11">
      <c r="A160" s="75"/>
      <c r="B160" s="961"/>
      <c r="C160" s="78"/>
      <c r="D160" s="134"/>
      <c r="E160" s="105"/>
      <c r="F160" s="88"/>
      <c r="G160" s="82"/>
      <c r="H160" s="1391"/>
      <c r="I160" s="1391"/>
      <c r="J160" s="1378"/>
      <c r="K160" s="1379"/>
    </row>
    <row r="161" spans="1:11" ht="63">
      <c r="A161" s="90">
        <v>3</v>
      </c>
      <c r="B161" s="950" t="s">
        <v>106</v>
      </c>
      <c r="C161" s="888" t="s">
        <v>1243</v>
      </c>
      <c r="D161" s="77" t="s">
        <v>87</v>
      </c>
      <c r="E161" s="106">
        <f>23.3*7.6</f>
        <v>177.07999999999998</v>
      </c>
      <c r="F161" s="807"/>
      <c r="G161" s="82">
        <f>F161*E161</f>
        <v>0</v>
      </c>
      <c r="H161" s="1393"/>
      <c r="I161" s="1393"/>
      <c r="J161" s="1378"/>
      <c r="K161" s="1379"/>
    </row>
    <row r="162" spans="1:11">
      <c r="A162" s="111"/>
      <c r="B162" s="962"/>
      <c r="C162" s="851"/>
      <c r="D162" s="202"/>
      <c r="E162" s="203"/>
      <c r="F162" s="127"/>
      <c r="G162" s="115"/>
      <c r="H162" s="1391"/>
      <c r="I162" s="1391"/>
      <c r="J162" s="1378"/>
      <c r="K162" s="1379"/>
    </row>
    <row r="163" spans="1:11" ht="63">
      <c r="A163" s="73">
        <v>4</v>
      </c>
      <c r="B163" s="963" t="s">
        <v>107</v>
      </c>
      <c r="C163" s="888" t="s">
        <v>1243</v>
      </c>
      <c r="D163" s="77" t="s">
        <v>87</v>
      </c>
      <c r="E163" s="106">
        <f>+((23.3*7.6+1*3.15)-(3.3*2.7))</f>
        <v>171.32</v>
      </c>
      <c r="F163" s="807"/>
      <c r="G163" s="82">
        <f>F163*E163</f>
        <v>0</v>
      </c>
      <c r="H163" s="1393"/>
      <c r="I163" s="1393"/>
      <c r="J163" s="1378"/>
      <c r="K163" s="1379"/>
    </row>
    <row r="164" spans="1:11">
      <c r="A164" s="111"/>
      <c r="B164" s="962"/>
      <c r="C164" s="851"/>
      <c r="D164" s="202"/>
      <c r="E164" s="203"/>
      <c r="F164" s="127"/>
      <c r="G164" s="115"/>
      <c r="H164" s="1391"/>
      <c r="I164" s="1391"/>
      <c r="J164" s="1378"/>
      <c r="K164" s="1379"/>
    </row>
    <row r="165" spans="1:11" ht="94.5">
      <c r="A165" s="73">
        <v>5</v>
      </c>
      <c r="B165" s="963" t="s">
        <v>108</v>
      </c>
      <c r="C165" s="888" t="s">
        <v>1243</v>
      </c>
      <c r="D165" s="77" t="s">
        <v>87</v>
      </c>
      <c r="E165" s="105">
        <f>0.85*3.15</f>
        <v>2.6774999999999998</v>
      </c>
      <c r="F165" s="807"/>
      <c r="G165" s="82">
        <f>F165*E165</f>
        <v>0</v>
      </c>
      <c r="H165" s="1393"/>
      <c r="I165" s="1393"/>
      <c r="J165" s="1378"/>
      <c r="K165" s="1379"/>
    </row>
    <row r="166" spans="1:11">
      <c r="A166" s="111"/>
      <c r="B166" s="962"/>
      <c r="C166" s="851"/>
      <c r="D166" s="202"/>
      <c r="E166" s="203"/>
      <c r="F166" s="127"/>
      <c r="G166" s="115"/>
      <c r="H166" s="1391"/>
      <c r="I166" s="1391"/>
      <c r="J166" s="1378"/>
      <c r="K166" s="1379"/>
    </row>
    <row r="167" spans="1:11" ht="78.75">
      <c r="A167" s="73">
        <v>6</v>
      </c>
      <c r="B167" s="963" t="s">
        <v>109</v>
      </c>
      <c r="C167" s="888" t="s">
        <v>1243</v>
      </c>
      <c r="D167" s="77" t="s">
        <v>87</v>
      </c>
      <c r="E167" s="145">
        <f>(7.6*24.3)-(0.85*4.24)</f>
        <v>181.07599999999999</v>
      </c>
      <c r="F167" s="807"/>
      <c r="G167" s="82">
        <f>F167*E167</f>
        <v>0</v>
      </c>
      <c r="H167" s="1393"/>
      <c r="I167" s="1393"/>
      <c r="J167" s="1378"/>
      <c r="K167" s="1379"/>
    </row>
    <row r="168" spans="1:11">
      <c r="A168" s="95"/>
      <c r="B168" s="936" t="s">
        <v>110</v>
      </c>
      <c r="C168" s="846"/>
      <c r="D168" s="155"/>
      <c r="E168" s="156"/>
      <c r="F168" s="98"/>
      <c r="G168" s="99">
        <f>SUM(G157:G167)</f>
        <v>0</v>
      </c>
      <c r="H168" s="1396"/>
      <c r="I168" s="1396"/>
      <c r="J168" s="1378"/>
      <c r="K168" s="1379"/>
    </row>
    <row r="169" spans="1:11">
      <c r="A169" s="116"/>
      <c r="B169" s="956"/>
      <c r="C169" s="847"/>
      <c r="D169" s="186"/>
      <c r="E169" s="187"/>
      <c r="F169" s="120"/>
      <c r="G169" s="120"/>
      <c r="H169" s="1390"/>
      <c r="I169" s="1390"/>
      <c r="J169" s="1378"/>
      <c r="K169" s="1379"/>
    </row>
    <row r="170" spans="1:11">
      <c r="A170" s="101"/>
      <c r="B170" s="964" t="s">
        <v>111</v>
      </c>
      <c r="C170" s="1188" t="s">
        <v>1244</v>
      </c>
      <c r="D170" s="102"/>
      <c r="E170" s="108"/>
      <c r="F170" s="109"/>
      <c r="G170" s="205"/>
      <c r="H170" s="1391"/>
      <c r="I170" s="1391"/>
      <c r="J170" s="1378"/>
      <c r="K170" s="1379"/>
    </row>
    <row r="171" spans="1:11">
      <c r="A171" s="207"/>
      <c r="B171" s="965" t="s">
        <v>112</v>
      </c>
      <c r="C171" s="844"/>
      <c r="D171" s="208"/>
      <c r="E171" s="209"/>
      <c r="F171" s="210"/>
      <c r="G171" s="210"/>
      <c r="H171" s="1391"/>
      <c r="I171" s="1391"/>
      <c r="J171" s="1378"/>
      <c r="K171" s="1379"/>
    </row>
    <row r="172" spans="1:11">
      <c r="A172" s="211"/>
      <c r="B172" s="966"/>
      <c r="C172" s="852"/>
      <c r="D172" s="212"/>
      <c r="E172" s="213"/>
      <c r="F172" s="214"/>
      <c r="G172" s="214"/>
      <c r="H172" s="1391"/>
      <c r="I172" s="1391"/>
      <c r="J172" s="1378"/>
      <c r="K172" s="1379"/>
    </row>
    <row r="173" spans="1:11" ht="94.5">
      <c r="A173" s="144">
        <v>1</v>
      </c>
      <c r="B173" s="950" t="s">
        <v>113</v>
      </c>
      <c r="C173" s="888" t="s">
        <v>1243</v>
      </c>
      <c r="D173" s="107"/>
      <c r="E173" s="89"/>
      <c r="F173" s="82"/>
      <c r="G173" s="82"/>
      <c r="H173" s="1391"/>
      <c r="I173" s="1391"/>
      <c r="J173" s="1378"/>
      <c r="K173" s="1379"/>
    </row>
    <row r="174" spans="1:11">
      <c r="A174" s="144" t="s">
        <v>114</v>
      </c>
      <c r="B174" s="960" t="s">
        <v>115</v>
      </c>
      <c r="C174" s="850"/>
      <c r="D174" s="215" t="s">
        <v>11</v>
      </c>
      <c r="E174" s="89">
        <v>1</v>
      </c>
      <c r="F174" s="807"/>
      <c r="G174" s="82">
        <f>F174*E174</f>
        <v>0</v>
      </c>
      <c r="H174" s="1393"/>
      <c r="I174" s="1393"/>
      <c r="J174" s="1378"/>
      <c r="K174" s="1379"/>
    </row>
    <row r="175" spans="1:11">
      <c r="A175" s="144" t="s">
        <v>116</v>
      </c>
      <c r="B175" s="960" t="s">
        <v>117</v>
      </c>
      <c r="C175" s="850"/>
      <c r="D175" s="215" t="s">
        <v>11</v>
      </c>
      <c r="E175" s="89">
        <v>2</v>
      </c>
      <c r="F175" s="807"/>
      <c r="G175" s="82">
        <f>F175*E175</f>
        <v>0</v>
      </c>
      <c r="H175" s="1393"/>
      <c r="I175" s="1393"/>
      <c r="J175" s="1378"/>
      <c r="K175" s="1379"/>
    </row>
    <row r="176" spans="1:11">
      <c r="A176" s="144" t="s">
        <v>118</v>
      </c>
      <c r="B176" s="960" t="s">
        <v>119</v>
      </c>
      <c r="C176" s="850"/>
      <c r="D176" s="215" t="s">
        <v>11</v>
      </c>
      <c r="E176" s="89">
        <v>1</v>
      </c>
      <c r="F176" s="807"/>
      <c r="G176" s="82">
        <f>F176*E176</f>
        <v>0</v>
      </c>
      <c r="H176" s="1393"/>
      <c r="I176" s="1393"/>
      <c r="J176" s="1378"/>
      <c r="K176" s="1379"/>
    </row>
    <row r="177" spans="1:11">
      <c r="A177" s="211"/>
      <c r="B177" s="967"/>
      <c r="C177" s="853"/>
      <c r="D177" s="216"/>
      <c r="E177" s="216"/>
      <c r="F177" s="216"/>
      <c r="G177" s="216"/>
      <c r="H177" s="1404"/>
      <c r="I177" s="1405"/>
      <c r="J177" s="1378"/>
      <c r="K177" s="1379"/>
    </row>
    <row r="178" spans="1:11" ht="47.25">
      <c r="A178" s="144">
        <v>2</v>
      </c>
      <c r="B178" s="950" t="s">
        <v>120</v>
      </c>
      <c r="C178" s="888" t="s">
        <v>1243</v>
      </c>
      <c r="D178" s="107"/>
      <c r="E178" s="89"/>
      <c r="F178" s="82"/>
      <c r="G178" s="82"/>
      <c r="H178" s="1391"/>
      <c r="I178" s="1391"/>
      <c r="J178" s="1378"/>
      <c r="K178" s="1379"/>
    </row>
    <row r="179" spans="1:11">
      <c r="A179" s="143"/>
      <c r="B179" s="960" t="s">
        <v>121</v>
      </c>
      <c r="C179" s="850"/>
      <c r="D179" s="215" t="s">
        <v>11</v>
      </c>
      <c r="E179" s="89">
        <v>3</v>
      </c>
      <c r="F179" s="807"/>
      <c r="G179" s="82">
        <f>F179*E179</f>
        <v>0</v>
      </c>
      <c r="H179" s="1393"/>
      <c r="I179" s="1393"/>
      <c r="J179" s="1378"/>
      <c r="K179" s="1379"/>
    </row>
    <row r="180" spans="1:11">
      <c r="A180" s="143"/>
      <c r="B180" s="961"/>
      <c r="C180" s="78"/>
      <c r="D180" s="107"/>
      <c r="E180" s="89"/>
      <c r="F180" s="82"/>
      <c r="G180" s="82"/>
      <c r="H180" s="1391"/>
      <c r="I180" s="1391"/>
      <c r="J180" s="1378"/>
      <c r="K180" s="1379"/>
    </row>
    <row r="181" spans="1:11" ht="31.5">
      <c r="A181" s="144">
        <v>3</v>
      </c>
      <c r="B181" s="963" t="s">
        <v>122</v>
      </c>
      <c r="C181" s="888" t="s">
        <v>1243</v>
      </c>
      <c r="D181" s="107"/>
      <c r="E181" s="89"/>
      <c r="F181" s="82"/>
      <c r="G181" s="82"/>
      <c r="H181" s="1391"/>
      <c r="I181" s="1391"/>
      <c r="J181" s="1378"/>
      <c r="K181" s="1379"/>
    </row>
    <row r="182" spans="1:11">
      <c r="A182" s="144" t="s">
        <v>14</v>
      </c>
      <c r="B182" s="968" t="s">
        <v>123</v>
      </c>
      <c r="C182" s="854"/>
      <c r="D182" s="215" t="s">
        <v>11</v>
      </c>
      <c r="E182" s="89">
        <v>25</v>
      </c>
      <c r="F182" s="807"/>
      <c r="G182" s="82">
        <f>F182*E182</f>
        <v>0</v>
      </c>
      <c r="H182" s="1393"/>
      <c r="I182" s="1393"/>
      <c r="J182" s="1378"/>
      <c r="K182" s="1379"/>
    </row>
    <row r="183" spans="1:11">
      <c r="A183" s="144" t="s">
        <v>17</v>
      </c>
      <c r="B183" s="968" t="s">
        <v>124</v>
      </c>
      <c r="C183" s="854"/>
      <c r="D183" s="215" t="s">
        <v>11</v>
      </c>
      <c r="E183" s="89">
        <v>5</v>
      </c>
      <c r="F183" s="807"/>
      <c r="G183" s="82">
        <f>F183*E183</f>
        <v>0</v>
      </c>
      <c r="H183" s="1393"/>
      <c r="I183" s="1393"/>
      <c r="J183" s="1378"/>
      <c r="K183" s="1379"/>
    </row>
    <row r="184" spans="1:11">
      <c r="A184" s="143"/>
      <c r="B184" s="961"/>
      <c r="C184" s="78"/>
      <c r="D184" s="107"/>
      <c r="E184" s="89"/>
      <c r="F184" s="82"/>
      <c r="G184" s="82"/>
      <c r="H184" s="1391"/>
      <c r="I184" s="1391"/>
      <c r="J184" s="1378"/>
      <c r="K184" s="1379"/>
    </row>
    <row r="185" spans="1:11" ht="31.5">
      <c r="A185" s="144">
        <v>4</v>
      </c>
      <c r="B185" s="950" t="s">
        <v>125</v>
      </c>
      <c r="C185" s="888" t="s">
        <v>1243</v>
      </c>
      <c r="D185" s="107"/>
      <c r="E185" s="89"/>
      <c r="F185" s="82"/>
      <c r="G185" s="82"/>
      <c r="H185" s="1391"/>
      <c r="I185" s="1391"/>
      <c r="J185" s="1378"/>
      <c r="K185" s="1379"/>
    </row>
    <row r="186" spans="1:11">
      <c r="A186" s="143"/>
      <c r="B186" s="968" t="s">
        <v>126</v>
      </c>
      <c r="C186" s="854"/>
      <c r="D186" s="215" t="s">
        <v>11</v>
      </c>
      <c r="E186" s="89">
        <v>6</v>
      </c>
      <c r="F186" s="807"/>
      <c r="G186" s="82">
        <f>F186*E186</f>
        <v>0</v>
      </c>
      <c r="H186" s="1393"/>
      <c r="I186" s="1393"/>
      <c r="J186" s="1378"/>
      <c r="K186" s="1379"/>
    </row>
    <row r="187" spans="1:11">
      <c r="A187" s="143"/>
      <c r="B187" s="961"/>
      <c r="C187" s="78"/>
      <c r="D187" s="107"/>
      <c r="E187" s="89"/>
      <c r="F187" s="82"/>
      <c r="G187" s="82"/>
      <c r="H187" s="1391"/>
      <c r="I187" s="1391"/>
      <c r="J187" s="1378"/>
      <c r="K187" s="1379"/>
    </row>
    <row r="188" spans="1:11" ht="31.5">
      <c r="A188" s="144">
        <v>5</v>
      </c>
      <c r="B188" s="950" t="s">
        <v>127</v>
      </c>
      <c r="C188" s="888" t="s">
        <v>1243</v>
      </c>
      <c r="D188" s="107"/>
      <c r="E188" s="89"/>
      <c r="F188" s="82"/>
      <c r="G188" s="82"/>
      <c r="H188" s="1391"/>
      <c r="I188" s="1391"/>
      <c r="J188" s="1378"/>
      <c r="K188" s="1379"/>
    </row>
    <row r="189" spans="1:11">
      <c r="A189" s="144" t="s">
        <v>128</v>
      </c>
      <c r="B189" s="968" t="s">
        <v>129</v>
      </c>
      <c r="C189" s="854"/>
      <c r="D189" s="215" t="s">
        <v>11</v>
      </c>
      <c r="E189" s="89">
        <v>1</v>
      </c>
      <c r="F189" s="807"/>
      <c r="G189" s="82">
        <f>F189*E189</f>
        <v>0</v>
      </c>
      <c r="H189" s="1393"/>
      <c r="I189" s="1393"/>
      <c r="J189" s="1378"/>
      <c r="K189" s="1379"/>
    </row>
    <row r="190" spans="1:11">
      <c r="A190" s="144" t="s">
        <v>130</v>
      </c>
      <c r="B190" s="968" t="s">
        <v>131</v>
      </c>
      <c r="C190" s="854"/>
      <c r="D190" s="215" t="s">
        <v>11</v>
      </c>
      <c r="E190" s="89">
        <v>1</v>
      </c>
      <c r="F190" s="807"/>
      <c r="G190" s="82">
        <f>F190*E190</f>
        <v>0</v>
      </c>
      <c r="H190" s="1393"/>
      <c r="I190" s="1393"/>
      <c r="J190" s="1378"/>
      <c r="K190" s="1379"/>
    </row>
    <row r="191" spans="1:11">
      <c r="A191" s="143"/>
      <c r="B191" s="969"/>
      <c r="C191" s="855"/>
      <c r="D191" s="107"/>
      <c r="E191" s="89"/>
      <c r="F191" s="82"/>
      <c r="G191" s="82"/>
      <c r="H191" s="1391"/>
      <c r="I191" s="1391"/>
      <c r="J191" s="1378"/>
      <c r="K191" s="1379"/>
    </row>
    <row r="192" spans="1:11" ht="31.5">
      <c r="A192" s="144">
        <v>6</v>
      </c>
      <c r="B192" s="950" t="s">
        <v>132</v>
      </c>
      <c r="C192" s="888" t="s">
        <v>1243</v>
      </c>
      <c r="D192" s="107"/>
      <c r="E192" s="89"/>
      <c r="F192" s="82"/>
      <c r="G192" s="82"/>
      <c r="H192" s="1391"/>
      <c r="I192" s="1391"/>
      <c r="J192" s="1378"/>
      <c r="K192" s="1379"/>
    </row>
    <row r="193" spans="1:11">
      <c r="A193" s="143"/>
      <c r="B193" s="968" t="s">
        <v>133</v>
      </c>
      <c r="C193" s="854"/>
      <c r="D193" s="215" t="s">
        <v>11</v>
      </c>
      <c r="E193" s="89">
        <v>1</v>
      </c>
      <c r="F193" s="807"/>
      <c r="G193" s="82">
        <f>F193*E193</f>
        <v>0</v>
      </c>
      <c r="H193" s="1393"/>
      <c r="I193" s="1393"/>
      <c r="J193" s="1378"/>
      <c r="K193" s="1379"/>
    </row>
    <row r="194" spans="1:11">
      <c r="A194" s="143"/>
      <c r="B194" s="961"/>
      <c r="C194" s="78"/>
      <c r="D194" s="107"/>
      <c r="E194" s="89"/>
      <c r="F194" s="82"/>
      <c r="G194" s="82"/>
      <c r="H194" s="1391"/>
      <c r="I194" s="1391"/>
      <c r="J194" s="1378"/>
      <c r="K194" s="1379"/>
    </row>
    <row r="195" spans="1:11" ht="31.5">
      <c r="A195" s="144">
        <v>7</v>
      </c>
      <c r="B195" s="950" t="s">
        <v>134</v>
      </c>
      <c r="C195" s="888" t="s">
        <v>1243</v>
      </c>
      <c r="D195" s="107"/>
      <c r="E195" s="89"/>
      <c r="F195" s="82"/>
      <c r="G195" s="82"/>
      <c r="H195" s="1391"/>
      <c r="I195" s="1391"/>
      <c r="J195" s="1378"/>
      <c r="K195" s="1379"/>
    </row>
    <row r="196" spans="1:11">
      <c r="A196" s="143"/>
      <c r="B196" s="968" t="s">
        <v>135</v>
      </c>
      <c r="C196" s="854"/>
      <c r="D196" s="215" t="s">
        <v>11</v>
      </c>
      <c r="E196" s="89">
        <v>2</v>
      </c>
      <c r="F196" s="807"/>
      <c r="G196" s="82">
        <f>F196*E196</f>
        <v>0</v>
      </c>
      <c r="H196" s="1393"/>
      <c r="I196" s="1393"/>
      <c r="J196" s="1378"/>
      <c r="K196" s="1379"/>
    </row>
    <row r="197" spans="1:11">
      <c r="A197" s="143"/>
      <c r="B197" s="969"/>
      <c r="C197" s="855"/>
      <c r="D197" s="216"/>
      <c r="E197" s="216"/>
      <c r="F197" s="216"/>
      <c r="G197" s="216"/>
      <c r="H197" s="1404"/>
      <c r="I197" s="1405"/>
      <c r="J197" s="1378"/>
      <c r="K197" s="1379"/>
    </row>
    <row r="198" spans="1:11" ht="47.25">
      <c r="A198" s="144">
        <v>8</v>
      </c>
      <c r="B198" s="950" t="s">
        <v>136</v>
      </c>
      <c r="C198" s="888" t="s">
        <v>1243</v>
      </c>
      <c r="D198" s="107"/>
      <c r="E198" s="89"/>
      <c r="F198" s="82"/>
      <c r="G198" s="82"/>
      <c r="H198" s="1391"/>
      <c r="I198" s="1391"/>
      <c r="J198" s="1378"/>
      <c r="K198" s="1379"/>
    </row>
    <row r="199" spans="1:11">
      <c r="A199" s="143"/>
      <c r="B199" s="968" t="s">
        <v>137</v>
      </c>
      <c r="C199" s="854"/>
      <c r="D199" s="215" t="s">
        <v>11</v>
      </c>
      <c r="E199" s="89">
        <v>2</v>
      </c>
      <c r="F199" s="807"/>
      <c r="G199" s="82">
        <f>F199*E199</f>
        <v>0</v>
      </c>
      <c r="H199" s="1393"/>
      <c r="I199" s="1393"/>
      <c r="J199" s="1378"/>
      <c r="K199" s="1379"/>
    </row>
    <row r="200" spans="1:11">
      <c r="A200" s="143"/>
      <c r="B200" s="961"/>
      <c r="C200" s="78"/>
      <c r="D200" s="107"/>
      <c r="E200" s="89"/>
      <c r="F200" s="82"/>
      <c r="G200" s="82"/>
      <c r="H200" s="1391"/>
      <c r="I200" s="1391"/>
      <c r="J200" s="1378"/>
      <c r="K200" s="1379"/>
    </row>
    <row r="201" spans="1:11" ht="31.5">
      <c r="A201" s="144">
        <v>9</v>
      </c>
      <c r="B201" s="950" t="s">
        <v>138</v>
      </c>
      <c r="C201" s="888" t="s">
        <v>1243</v>
      </c>
      <c r="D201" s="67"/>
      <c r="E201" s="218"/>
      <c r="F201" s="219"/>
      <c r="G201" s="219"/>
      <c r="H201" s="1406"/>
      <c r="I201" s="1406"/>
      <c r="J201" s="1378"/>
      <c r="K201" s="1379"/>
    </row>
    <row r="202" spans="1:11">
      <c r="A202" s="144" t="s">
        <v>139</v>
      </c>
      <c r="B202" s="970" t="s">
        <v>140</v>
      </c>
      <c r="C202" s="854"/>
      <c r="D202" s="220" t="s">
        <v>11</v>
      </c>
      <c r="E202" s="107">
        <v>6</v>
      </c>
      <c r="F202" s="807"/>
      <c r="G202" s="219">
        <f>E202*F202</f>
        <v>0</v>
      </c>
      <c r="H202" s="1392"/>
      <c r="I202" s="1392"/>
      <c r="J202" s="1378"/>
      <c r="K202" s="1379"/>
    </row>
    <row r="203" spans="1:11">
      <c r="A203" s="144" t="s">
        <v>141</v>
      </c>
      <c r="B203" s="970" t="s">
        <v>142</v>
      </c>
      <c r="C203" s="854"/>
      <c r="D203" s="220" t="s">
        <v>11</v>
      </c>
      <c r="E203" s="107">
        <v>4</v>
      </c>
      <c r="F203" s="807"/>
      <c r="G203" s="219">
        <f>E203*F203</f>
        <v>0</v>
      </c>
      <c r="H203" s="1392"/>
      <c r="I203" s="1392"/>
      <c r="J203" s="1378"/>
      <c r="K203" s="1379"/>
    </row>
    <row r="204" spans="1:11">
      <c r="A204" s="144" t="s">
        <v>143</v>
      </c>
      <c r="B204" s="970" t="s">
        <v>144</v>
      </c>
      <c r="C204" s="854"/>
      <c r="D204" s="220" t="s">
        <v>11</v>
      </c>
      <c r="E204" s="107">
        <v>18</v>
      </c>
      <c r="F204" s="807"/>
      <c r="G204" s="219">
        <f>E204*F204</f>
        <v>0</v>
      </c>
      <c r="H204" s="1392"/>
      <c r="I204" s="1392"/>
      <c r="J204" s="1378"/>
      <c r="K204" s="1379"/>
    </row>
    <row r="205" spans="1:11">
      <c r="A205" s="143"/>
      <c r="B205" s="961"/>
      <c r="C205" s="78"/>
      <c r="D205" s="107"/>
      <c r="E205" s="89"/>
      <c r="F205" s="82"/>
      <c r="G205" s="82"/>
      <c r="H205" s="1391"/>
      <c r="I205" s="1391"/>
      <c r="J205" s="1378"/>
      <c r="K205" s="1379"/>
    </row>
    <row r="206" spans="1:11" ht="63">
      <c r="A206" s="144">
        <v>10</v>
      </c>
      <c r="B206" s="950" t="s">
        <v>145</v>
      </c>
      <c r="C206" s="888" t="s">
        <v>1243</v>
      </c>
      <c r="D206" s="67"/>
      <c r="E206" s="67"/>
      <c r="F206" s="219"/>
      <c r="G206" s="219"/>
      <c r="H206" s="1406"/>
      <c r="I206" s="1406"/>
      <c r="J206" s="1378"/>
      <c r="K206" s="1379"/>
    </row>
    <row r="207" spans="1:11">
      <c r="A207" s="143"/>
      <c r="B207" s="950" t="s">
        <v>146</v>
      </c>
      <c r="C207" s="845"/>
      <c r="D207" s="67"/>
      <c r="E207" s="107"/>
      <c r="F207" s="219"/>
      <c r="G207" s="219"/>
      <c r="H207" s="1406"/>
      <c r="I207" s="1406"/>
      <c r="J207" s="1378"/>
      <c r="K207" s="1379"/>
    </row>
    <row r="208" spans="1:11">
      <c r="A208" s="144" t="s">
        <v>147</v>
      </c>
      <c r="B208" s="970" t="s">
        <v>148</v>
      </c>
      <c r="C208" s="854"/>
      <c r="D208" s="220" t="s">
        <v>11</v>
      </c>
      <c r="E208" s="107">
        <v>1</v>
      </c>
      <c r="F208" s="807"/>
      <c r="G208" s="219">
        <f>+F208*E208</f>
        <v>0</v>
      </c>
      <c r="H208" s="1392"/>
      <c r="I208" s="1392"/>
      <c r="J208" s="1378"/>
      <c r="K208" s="1379"/>
    </row>
    <row r="209" spans="1:11">
      <c r="A209" s="144" t="s">
        <v>149</v>
      </c>
      <c r="B209" s="970" t="s">
        <v>150</v>
      </c>
      <c r="C209" s="854"/>
      <c r="D209" s="220" t="s">
        <v>11</v>
      </c>
      <c r="E209" s="107">
        <v>1</v>
      </c>
      <c r="F209" s="807"/>
      <c r="G209" s="219">
        <f>+F209*E209</f>
        <v>0</v>
      </c>
      <c r="H209" s="1392"/>
      <c r="I209" s="1392"/>
      <c r="J209" s="1378"/>
      <c r="K209" s="1379"/>
    </row>
    <row r="210" spans="1:11">
      <c r="A210" s="144" t="s">
        <v>151</v>
      </c>
      <c r="B210" s="970" t="s">
        <v>152</v>
      </c>
      <c r="C210" s="854"/>
      <c r="D210" s="220" t="s">
        <v>11</v>
      </c>
      <c r="E210" s="107">
        <v>1</v>
      </c>
      <c r="F210" s="807"/>
      <c r="G210" s="219">
        <f>+F210*E210</f>
        <v>0</v>
      </c>
      <c r="H210" s="1392"/>
      <c r="I210" s="1392"/>
      <c r="J210" s="1378"/>
      <c r="K210" s="1379"/>
    </row>
    <row r="211" spans="1:11">
      <c r="A211" s="143"/>
      <c r="B211" s="463"/>
      <c r="C211" s="856"/>
      <c r="D211"/>
      <c r="E211"/>
      <c r="F211"/>
      <c r="G211"/>
      <c r="H211" s="1394"/>
      <c r="I211" s="1395"/>
      <c r="J211" s="1378"/>
      <c r="K211" s="1379"/>
    </row>
    <row r="212" spans="1:11" ht="78.75">
      <c r="A212" s="144">
        <v>11</v>
      </c>
      <c r="B212" s="963" t="s">
        <v>153</v>
      </c>
      <c r="C212" s="888" t="s">
        <v>1243</v>
      </c>
      <c r="D212" s="67"/>
      <c r="E212" s="67"/>
      <c r="F212" s="219"/>
      <c r="G212" s="219"/>
      <c r="H212" s="1406"/>
      <c r="I212" s="1406"/>
      <c r="J212" s="1378"/>
      <c r="K212" s="1379"/>
    </row>
    <row r="213" spans="1:11">
      <c r="A213" s="143"/>
      <c r="B213" s="970" t="s">
        <v>154</v>
      </c>
      <c r="C213" s="854"/>
      <c r="D213" s="220" t="s">
        <v>11</v>
      </c>
      <c r="E213" s="107">
        <v>1</v>
      </c>
      <c r="F213" s="807"/>
      <c r="G213" s="219">
        <f>+F213*E213</f>
        <v>0</v>
      </c>
      <c r="H213" s="1392"/>
      <c r="I213" s="1392"/>
      <c r="J213" s="1378"/>
      <c r="K213" s="1379"/>
    </row>
    <row r="214" spans="1:11">
      <c r="A214" s="95"/>
      <c r="B214" s="936" t="s">
        <v>155</v>
      </c>
      <c r="C214" s="846"/>
      <c r="D214" s="155"/>
      <c r="E214" s="156"/>
      <c r="F214" s="98"/>
      <c r="G214" s="99">
        <f>SUM(G174:G213)</f>
        <v>0</v>
      </c>
      <c r="H214" s="1396"/>
      <c r="I214" s="1396"/>
      <c r="J214" s="1378"/>
      <c r="K214" s="1379"/>
    </row>
    <row r="215" spans="1:11">
      <c r="A215" s="116"/>
      <c r="B215" s="956"/>
      <c r="C215" s="847"/>
      <c r="D215" s="186"/>
      <c r="E215" s="187"/>
      <c r="F215" s="120"/>
      <c r="G215" s="120"/>
      <c r="H215" s="1390"/>
      <c r="I215" s="1390"/>
      <c r="J215" s="1378"/>
      <c r="K215" s="1379"/>
    </row>
    <row r="216" spans="1:11">
      <c r="A216" s="157"/>
      <c r="B216" s="971" t="s">
        <v>156</v>
      </c>
      <c r="C216" s="1188" t="s">
        <v>1244</v>
      </c>
      <c r="D216" s="158"/>
      <c r="E216" s="159"/>
      <c r="F216" s="160"/>
      <c r="G216" s="161"/>
      <c r="H216" s="1391"/>
      <c r="I216" s="1391"/>
      <c r="J216" s="1378"/>
      <c r="K216" s="1379"/>
    </row>
    <row r="217" spans="1:11">
      <c r="A217" s="75"/>
      <c r="B217" s="972" t="s">
        <v>157</v>
      </c>
      <c r="C217" s="857"/>
      <c r="D217" s="67"/>
      <c r="E217" s="81"/>
      <c r="F217" s="82"/>
      <c r="G217" s="82"/>
      <c r="H217" s="1391"/>
      <c r="I217" s="1391"/>
      <c r="J217" s="1378"/>
      <c r="K217" s="1379"/>
    </row>
    <row r="218" spans="1:11">
      <c r="A218" s="75"/>
      <c r="B218" s="973"/>
      <c r="C218" s="858"/>
      <c r="D218" s="67"/>
      <c r="E218" s="81"/>
      <c r="F218" s="82"/>
      <c r="G218" s="82"/>
      <c r="H218" s="1391"/>
      <c r="I218" s="1391"/>
      <c r="J218" s="1378"/>
      <c r="K218" s="1379"/>
    </row>
    <row r="219" spans="1:11" ht="63">
      <c r="A219" s="73">
        <v>1</v>
      </c>
      <c r="B219" s="950" t="s">
        <v>158</v>
      </c>
      <c r="C219" s="888" t="s">
        <v>1243</v>
      </c>
      <c r="D219" s="216"/>
      <c r="E219" s="216"/>
      <c r="F219" s="216"/>
      <c r="G219" s="216"/>
      <c r="H219" s="1404"/>
      <c r="I219" s="1405"/>
      <c r="J219" s="1378"/>
      <c r="K219" s="1379"/>
    </row>
    <row r="220" spans="1:11">
      <c r="A220" s="75"/>
      <c r="B220" s="974" t="s">
        <v>159</v>
      </c>
      <c r="C220" s="859"/>
      <c r="D220" s="220" t="s">
        <v>11</v>
      </c>
      <c r="E220" s="223">
        <v>1</v>
      </c>
      <c r="F220" s="807"/>
      <c r="G220" s="82">
        <f>F220*E220</f>
        <v>0</v>
      </c>
      <c r="H220" s="1393"/>
      <c r="I220" s="1393"/>
      <c r="J220" s="1378"/>
      <c r="K220" s="1379"/>
    </row>
    <row r="221" spans="1:11">
      <c r="A221" s="224"/>
      <c r="B221" s="975"/>
      <c r="C221" s="860"/>
      <c r="D221" s="225"/>
      <c r="E221" s="226"/>
      <c r="F221" s="214"/>
      <c r="G221" s="214"/>
      <c r="H221" s="1391"/>
      <c r="I221" s="1391"/>
      <c r="J221" s="1378"/>
      <c r="K221" s="1379"/>
    </row>
    <row r="222" spans="1:11" ht="47.25">
      <c r="A222" s="73" t="s">
        <v>161</v>
      </c>
      <c r="B222" s="950" t="s">
        <v>162</v>
      </c>
      <c r="C222" s="888" t="s">
        <v>1243</v>
      </c>
      <c r="D222" s="225"/>
      <c r="E222" s="226"/>
      <c r="F222" s="214"/>
      <c r="G222" s="214"/>
      <c r="H222" s="1391"/>
      <c r="I222" s="1391"/>
      <c r="J222" s="1378"/>
      <c r="K222" s="1379"/>
    </row>
    <row r="223" spans="1:11">
      <c r="A223" s="224"/>
      <c r="B223" s="974" t="s">
        <v>163</v>
      </c>
      <c r="C223" s="859"/>
      <c r="D223" s="220" t="s">
        <v>11</v>
      </c>
      <c r="E223" s="223">
        <v>1</v>
      </c>
      <c r="F223" s="807"/>
      <c r="G223" s="82">
        <f>F223*E223</f>
        <v>0</v>
      </c>
      <c r="H223" s="1393"/>
      <c r="I223" s="1393"/>
      <c r="J223" s="1378"/>
      <c r="K223" s="1379"/>
    </row>
    <row r="224" spans="1:11">
      <c r="A224" s="224"/>
      <c r="B224" s="969"/>
      <c r="C224" s="855"/>
      <c r="D224" s="216"/>
      <c r="E224" s="216"/>
      <c r="F224" s="216"/>
      <c r="G224" s="216"/>
      <c r="H224" s="1404"/>
      <c r="I224" s="1405"/>
      <c r="J224" s="1378"/>
      <c r="K224" s="1379"/>
    </row>
    <row r="225" spans="1:11" ht="63">
      <c r="A225" s="73">
        <v>2</v>
      </c>
      <c r="B225" s="950" t="s">
        <v>164</v>
      </c>
      <c r="C225" s="888" t="s">
        <v>1243</v>
      </c>
      <c r="D225" s="67"/>
      <c r="E225" s="226"/>
      <c r="F225" s="214"/>
      <c r="G225" s="82"/>
      <c r="H225" s="1391"/>
      <c r="I225" s="1391"/>
      <c r="J225" s="1378"/>
      <c r="K225" s="1379"/>
    </row>
    <row r="226" spans="1:11">
      <c r="A226" s="224"/>
      <c r="B226" s="974" t="s">
        <v>165</v>
      </c>
      <c r="C226" s="859"/>
      <c r="D226" s="220" t="s">
        <v>11</v>
      </c>
      <c r="E226" s="67">
        <v>3</v>
      </c>
      <c r="F226" s="807"/>
      <c r="G226" s="82">
        <f>+F226*E226</f>
        <v>0</v>
      </c>
      <c r="H226" s="1393"/>
      <c r="I226" s="1393"/>
      <c r="J226" s="1378"/>
      <c r="K226" s="1379"/>
    </row>
    <row r="227" spans="1:11">
      <c r="A227" s="224"/>
      <c r="B227" s="969"/>
      <c r="C227" s="855"/>
      <c r="D227" s="216"/>
      <c r="E227" s="216"/>
      <c r="F227" s="216"/>
      <c r="G227" s="216"/>
      <c r="H227" s="1404"/>
      <c r="I227" s="1405"/>
      <c r="J227" s="1378"/>
      <c r="K227" s="1379"/>
    </row>
    <row r="228" spans="1:11" ht="63">
      <c r="A228" s="73">
        <v>3</v>
      </c>
      <c r="B228" s="963" t="s">
        <v>166</v>
      </c>
      <c r="C228" s="888" t="s">
        <v>1243</v>
      </c>
      <c r="D228" s="223"/>
      <c r="E228" s="223"/>
      <c r="F228" s="82"/>
      <c r="G228" s="82"/>
      <c r="H228" s="1391"/>
      <c r="I228" s="1391"/>
      <c r="J228" s="1378"/>
      <c r="K228" s="1379"/>
    </row>
    <row r="229" spans="1:11">
      <c r="A229" s="224"/>
      <c r="B229" s="974" t="s">
        <v>167</v>
      </c>
      <c r="C229" s="859"/>
      <c r="D229" s="220" t="s">
        <v>11</v>
      </c>
      <c r="E229" s="223">
        <v>2</v>
      </c>
      <c r="F229" s="807"/>
      <c r="G229" s="82">
        <f>F229*E229</f>
        <v>0</v>
      </c>
      <c r="H229" s="1393"/>
      <c r="I229" s="1393"/>
      <c r="J229" s="1378"/>
      <c r="K229" s="1379"/>
    </row>
    <row r="230" spans="1:11">
      <c r="A230" s="224"/>
      <c r="B230" s="969"/>
      <c r="C230" s="855"/>
      <c r="D230" s="216"/>
      <c r="E230" s="216"/>
      <c r="F230" s="216"/>
      <c r="G230" s="216"/>
      <c r="H230" s="1404"/>
      <c r="I230" s="1405"/>
      <c r="J230" s="1378"/>
      <c r="K230" s="1379"/>
    </row>
    <row r="231" spans="1:11" ht="47.25">
      <c r="A231" s="73">
        <v>4</v>
      </c>
      <c r="B231" s="963" t="s">
        <v>168</v>
      </c>
      <c r="C231" s="888" t="s">
        <v>1243</v>
      </c>
      <c r="D231" s="223"/>
      <c r="E231" s="223"/>
      <c r="F231" s="82"/>
      <c r="G231" s="82"/>
      <c r="H231" s="1391"/>
      <c r="I231" s="1391"/>
      <c r="J231" s="1378"/>
      <c r="K231" s="1379"/>
    </row>
    <row r="232" spans="1:11">
      <c r="A232"/>
      <c r="B232" s="974" t="s">
        <v>169</v>
      </c>
      <c r="C232" s="859"/>
      <c r="D232" s="220" t="s">
        <v>11</v>
      </c>
      <c r="E232" s="223">
        <v>1</v>
      </c>
      <c r="F232" s="807"/>
      <c r="G232" s="82">
        <f>F232*E232</f>
        <v>0</v>
      </c>
      <c r="H232" s="1393"/>
      <c r="I232" s="1393"/>
      <c r="J232" s="1378"/>
      <c r="K232" s="1379"/>
    </row>
    <row r="233" spans="1:11">
      <c r="A233"/>
      <c r="B233" s="969"/>
      <c r="C233" s="855"/>
      <c r="D233" s="216"/>
      <c r="E233" s="216"/>
      <c r="F233" s="216"/>
      <c r="G233" s="216"/>
      <c r="H233" s="1404"/>
      <c r="I233" s="1405"/>
      <c r="J233" s="1378"/>
      <c r="K233" s="1379"/>
    </row>
    <row r="234" spans="1:11" ht="47.25">
      <c r="A234" s="73">
        <v>5</v>
      </c>
      <c r="B234" s="963" t="s">
        <v>170</v>
      </c>
      <c r="C234" s="888" t="s">
        <v>1243</v>
      </c>
      <c r="D234" s="223"/>
      <c r="E234" s="223"/>
      <c r="F234" s="82"/>
      <c r="G234" s="82"/>
      <c r="H234" s="1391"/>
      <c r="I234" s="1391"/>
      <c r="J234" s="1378"/>
      <c r="K234" s="1379"/>
    </row>
    <row r="235" spans="1:11">
      <c r="A235" s="221"/>
      <c r="B235" s="974" t="s">
        <v>171</v>
      </c>
      <c r="C235" s="859"/>
      <c r="D235" s="220" t="s">
        <v>11</v>
      </c>
      <c r="E235" s="223">
        <v>1</v>
      </c>
      <c r="F235" s="807"/>
      <c r="G235" s="82">
        <f>F235*E235</f>
        <v>0</v>
      </c>
      <c r="H235" s="1393"/>
      <c r="I235" s="1393"/>
      <c r="J235" s="1378"/>
      <c r="K235" s="1379"/>
    </row>
    <row r="236" spans="1:11">
      <c r="A236"/>
      <c r="B236" s="94"/>
      <c r="C236" s="861"/>
      <c r="D236"/>
      <c r="E236"/>
      <c r="F236" s="807"/>
      <c r="G236"/>
      <c r="H236" s="1394"/>
      <c r="I236" s="1395"/>
      <c r="J236" s="1378"/>
      <c r="K236" s="1379"/>
    </row>
    <row r="237" spans="1:11" ht="81.75" customHeight="1">
      <c r="A237" s="73">
        <v>6</v>
      </c>
      <c r="B237" s="950" t="s">
        <v>172</v>
      </c>
      <c r="C237" s="888" t="s">
        <v>1243</v>
      </c>
      <c r="D237" s="67"/>
      <c r="E237" s="81"/>
      <c r="F237" s="82"/>
      <c r="G237" s="82"/>
      <c r="H237" s="1391"/>
      <c r="I237" s="1391"/>
      <c r="J237" s="1378"/>
      <c r="K237" s="1379"/>
    </row>
    <row r="238" spans="1:11" ht="31.5">
      <c r="A238"/>
      <c r="B238" s="960" t="s">
        <v>173</v>
      </c>
      <c r="C238" s="859"/>
      <c r="D238" s="220" t="s">
        <v>11</v>
      </c>
      <c r="E238" s="223">
        <v>2</v>
      </c>
      <c r="F238" s="807"/>
      <c r="G238" s="82">
        <f>F238*E238</f>
        <v>0</v>
      </c>
      <c r="H238" s="1393"/>
      <c r="I238" s="1393"/>
      <c r="J238" s="1378"/>
      <c r="K238" s="1379"/>
    </row>
    <row r="239" spans="1:11">
      <c r="A239"/>
      <c r="B239" s="969"/>
      <c r="C239" s="855"/>
      <c r="D239"/>
      <c r="E239"/>
      <c r="F239"/>
      <c r="G239"/>
      <c r="H239" s="1394"/>
      <c r="I239" s="1395"/>
      <c r="J239" s="1378"/>
      <c r="K239" s="1379"/>
    </row>
    <row r="240" spans="1:11" ht="78.75">
      <c r="A240" s="73">
        <v>7</v>
      </c>
      <c r="B240" s="950" t="s">
        <v>174</v>
      </c>
      <c r="C240" s="888" t="s">
        <v>1243</v>
      </c>
      <c r="D240" s="227"/>
      <c r="E240" s="174"/>
      <c r="F240" s="104"/>
      <c r="G240" s="228"/>
      <c r="H240" s="1398"/>
      <c r="I240" s="1398"/>
      <c r="J240" s="1378"/>
      <c r="K240" s="1379"/>
    </row>
    <row r="241" spans="1:11">
      <c r="A241"/>
      <c r="B241" s="974" t="s">
        <v>175</v>
      </c>
      <c r="C241" s="859"/>
      <c r="D241" s="220" t="s">
        <v>176</v>
      </c>
      <c r="E241" s="81">
        <f>1.4+1.05+0.3*2+1.4+1.22+2.1</f>
        <v>7.77</v>
      </c>
      <c r="F241" s="807"/>
      <c r="G241" s="219">
        <f>+F241*E241</f>
        <v>0</v>
      </c>
      <c r="H241" s="1392"/>
      <c r="I241" s="1392"/>
      <c r="J241" s="1378"/>
      <c r="K241" s="1379"/>
    </row>
    <row r="242" spans="1:11">
      <c r="A242"/>
      <c r="B242" s="969"/>
      <c r="C242" s="855"/>
      <c r="D242" s="216"/>
      <c r="E242" s="216"/>
      <c r="F242" s="216"/>
      <c r="G242" s="216"/>
      <c r="H242" s="1404"/>
      <c r="I242" s="1405"/>
      <c r="J242" s="1378"/>
      <c r="K242" s="1379"/>
    </row>
    <row r="243" spans="1:11" ht="63">
      <c r="A243" s="73">
        <v>8</v>
      </c>
      <c r="B243" s="950" t="s">
        <v>177</v>
      </c>
      <c r="C243" s="888" t="s">
        <v>1243</v>
      </c>
      <c r="D243" s="67"/>
      <c r="E243" s="67"/>
      <c r="F243" s="82"/>
      <c r="G243" s="82"/>
      <c r="H243" s="1391"/>
      <c r="I243" s="1391"/>
      <c r="J243" s="1378"/>
      <c r="K243" s="1379"/>
    </row>
    <row r="244" spans="1:11">
      <c r="A244" s="224"/>
      <c r="B244" s="974" t="s">
        <v>178</v>
      </c>
      <c r="C244" s="859"/>
      <c r="D244" s="220" t="s">
        <v>11</v>
      </c>
      <c r="E244" s="223">
        <v>1</v>
      </c>
      <c r="F244" s="807"/>
      <c r="G244" s="82">
        <f>F244*E244</f>
        <v>0</v>
      </c>
      <c r="H244" s="1393"/>
      <c r="I244" s="1393"/>
      <c r="J244" s="1378"/>
      <c r="K244" s="1379"/>
    </row>
    <row r="245" spans="1:11">
      <c r="A245" s="95"/>
      <c r="B245" s="976" t="s">
        <v>179</v>
      </c>
      <c r="C245" s="846"/>
      <c r="D245" s="155"/>
      <c r="E245" s="156"/>
      <c r="F245" s="98"/>
      <c r="G245" s="99">
        <f>SUM(G217:G244)</f>
        <v>0</v>
      </c>
      <c r="H245" s="1396"/>
      <c r="I245" s="1396"/>
      <c r="J245" s="1378"/>
      <c r="K245" s="1379"/>
    </row>
    <row r="246" spans="1:11">
      <c r="A246" s="116"/>
      <c r="B246" s="977"/>
      <c r="C246" s="847"/>
      <c r="D246" s="186"/>
      <c r="E246" s="187"/>
      <c r="F246" s="120"/>
      <c r="G246" s="120"/>
      <c r="H246" s="1390"/>
      <c r="I246" s="1390"/>
      <c r="J246" s="1378"/>
      <c r="K246" s="1379"/>
    </row>
    <row r="247" spans="1:11">
      <c r="A247" s="69"/>
      <c r="B247" s="978" t="s">
        <v>180</v>
      </c>
      <c r="C247" s="1188" t="s">
        <v>1244</v>
      </c>
      <c r="D247" s="70"/>
      <c r="E247" s="121"/>
      <c r="F247" s="109"/>
      <c r="G247" s="122"/>
      <c r="H247" s="1391"/>
      <c r="I247" s="1391"/>
      <c r="J247" s="1378"/>
      <c r="K247" s="1379"/>
    </row>
    <row r="248" spans="1:11">
      <c r="A248" s="116"/>
      <c r="B248" s="977"/>
      <c r="C248" s="847"/>
      <c r="D248" s="186"/>
      <c r="E248" s="187"/>
      <c r="F248" s="120"/>
      <c r="G248" s="120"/>
      <c r="H248" s="1390"/>
      <c r="I248" s="1390"/>
      <c r="J248" s="1378"/>
      <c r="K248" s="1379"/>
    </row>
    <row r="249" spans="1:11" ht="63">
      <c r="A249" s="73">
        <v>1</v>
      </c>
      <c r="B249" s="979" t="s">
        <v>181</v>
      </c>
      <c r="C249" s="888" t="s">
        <v>1243</v>
      </c>
      <c r="D249" s="234" t="s">
        <v>87</v>
      </c>
      <c r="E249" s="105">
        <v>179.68</v>
      </c>
      <c r="F249" s="807"/>
      <c r="G249" s="64">
        <f>F249*E249</f>
        <v>0</v>
      </c>
      <c r="H249" s="1393"/>
      <c r="I249" s="1393"/>
      <c r="J249" s="1378"/>
      <c r="K249" s="1379"/>
    </row>
    <row r="250" spans="1:11">
      <c r="A250" s="224"/>
      <c r="B250" s="980"/>
      <c r="C250" s="863"/>
      <c r="D250" s="235"/>
      <c r="E250" s="105"/>
      <c r="F250" s="232"/>
      <c r="G250" s="232"/>
      <c r="H250" s="1390"/>
      <c r="I250" s="1390"/>
      <c r="J250" s="1378"/>
      <c r="K250" s="1379"/>
    </row>
    <row r="251" spans="1:11" ht="63">
      <c r="A251" s="73">
        <v>2</v>
      </c>
      <c r="B251" s="979" t="s">
        <v>182</v>
      </c>
      <c r="C251" s="888" t="s">
        <v>1243</v>
      </c>
      <c r="D251" s="234" t="s">
        <v>176</v>
      </c>
      <c r="E251" s="105">
        <v>216.32</v>
      </c>
      <c r="F251" s="807"/>
      <c r="G251" s="64">
        <f>F251*E251</f>
        <v>0</v>
      </c>
      <c r="H251" s="1393"/>
      <c r="I251" s="1393"/>
      <c r="J251" s="1378"/>
      <c r="K251" s="1379"/>
    </row>
    <row r="252" spans="1:11">
      <c r="A252" s="95"/>
      <c r="B252" s="976" t="s">
        <v>183</v>
      </c>
      <c r="C252" s="846"/>
      <c r="D252" s="155"/>
      <c r="E252" s="156"/>
      <c r="F252" s="98"/>
      <c r="G252" s="99">
        <f>SUM(G249:G251)</f>
        <v>0</v>
      </c>
      <c r="H252" s="1396"/>
      <c r="I252" s="1396"/>
      <c r="J252" s="1378"/>
      <c r="K252" s="1379"/>
    </row>
    <row r="253" spans="1:11">
      <c r="A253" s="116"/>
      <c r="B253" s="977"/>
      <c r="C253" s="847"/>
      <c r="D253" s="186"/>
      <c r="E253" s="187"/>
      <c r="F253" s="120"/>
      <c r="G253" s="120"/>
      <c r="H253" s="1390"/>
      <c r="I253" s="1390"/>
      <c r="J253" s="1378"/>
      <c r="K253" s="1379"/>
    </row>
    <row r="254" spans="1:11">
      <c r="A254" s="69"/>
      <c r="B254" s="981" t="s">
        <v>184</v>
      </c>
      <c r="C254" s="1188" t="s">
        <v>1244</v>
      </c>
      <c r="D254" s="70"/>
      <c r="E254" s="121"/>
      <c r="F254" s="109"/>
      <c r="G254" s="122"/>
      <c r="H254" s="1391"/>
      <c r="I254" s="1391"/>
      <c r="J254" s="1378"/>
      <c r="K254" s="1379"/>
    </row>
    <row r="255" spans="1:11">
      <c r="A255" s="237"/>
      <c r="B255" s="982"/>
      <c r="C255" s="864"/>
      <c r="D255" s="173"/>
      <c r="E255" s="105"/>
      <c r="F255" s="88"/>
      <c r="G255" s="153"/>
      <c r="H255" s="1391"/>
      <c r="I255" s="1391"/>
      <c r="J255" s="1378"/>
      <c r="K255" s="1379"/>
    </row>
    <row r="256" spans="1:11" ht="94.5">
      <c r="A256" s="144">
        <v>1</v>
      </c>
      <c r="B256" s="950" t="s">
        <v>185</v>
      </c>
      <c r="C256" s="888" t="s">
        <v>1243</v>
      </c>
      <c r="D256" s="234" t="s">
        <v>87</v>
      </c>
      <c r="E256" s="105">
        <v>132.91999999999999</v>
      </c>
      <c r="F256" s="807"/>
      <c r="G256" s="238">
        <f>F256*E256</f>
        <v>0</v>
      </c>
      <c r="H256" s="1393"/>
      <c r="I256" s="1393"/>
      <c r="J256" s="1378"/>
      <c r="K256" s="1379"/>
    </row>
    <row r="257" spans="1:11">
      <c r="A257" s="211"/>
      <c r="B257" s="983"/>
      <c r="C257" s="865"/>
      <c r="D257" s="235"/>
      <c r="E257" s="236"/>
      <c r="F257" s="232"/>
      <c r="G257" s="239"/>
      <c r="H257" s="1390"/>
      <c r="I257" s="1390"/>
      <c r="J257" s="1378"/>
      <c r="K257" s="1379"/>
    </row>
    <row r="258" spans="1:11" ht="78.75">
      <c r="A258" s="144">
        <v>2</v>
      </c>
      <c r="B258" s="950" t="s">
        <v>186</v>
      </c>
      <c r="C258" s="888" t="s">
        <v>1243</v>
      </c>
      <c r="D258" s="234" t="s">
        <v>87</v>
      </c>
      <c r="E258" s="105">
        <f>4.94*1.5</f>
        <v>7.41</v>
      </c>
      <c r="F258" s="807"/>
      <c r="G258" s="64">
        <f>F258*E258</f>
        <v>0</v>
      </c>
      <c r="H258" s="1393"/>
      <c r="I258" s="1393"/>
      <c r="J258" s="1378"/>
      <c r="K258" s="1379"/>
    </row>
    <row r="259" spans="1:11">
      <c r="A259" s="240"/>
      <c r="B259" s="983"/>
      <c r="C259" s="865"/>
      <c r="D259" s="235"/>
      <c r="E259" s="105"/>
      <c r="F259" s="232"/>
      <c r="G259" s="232"/>
      <c r="H259" s="1390"/>
      <c r="I259" s="1390"/>
      <c r="J259" s="1378"/>
      <c r="K259" s="1379"/>
    </row>
    <row r="260" spans="1:11" ht="78.75">
      <c r="A260" s="144">
        <v>3</v>
      </c>
      <c r="B260" s="950" t="s">
        <v>187</v>
      </c>
      <c r="C260" s="888" t="s">
        <v>1243</v>
      </c>
      <c r="D260" s="215" t="s">
        <v>87</v>
      </c>
      <c r="E260" s="105">
        <v>152.69</v>
      </c>
      <c r="F260" s="807"/>
      <c r="G260" s="82">
        <f>F260*E260</f>
        <v>0</v>
      </c>
      <c r="H260" s="1393"/>
      <c r="I260" s="1393"/>
      <c r="J260" s="1378"/>
      <c r="K260" s="1379"/>
    </row>
    <row r="261" spans="1:11">
      <c r="A261" s="240"/>
      <c r="B261" s="983"/>
      <c r="C261" s="865"/>
      <c r="D261" s="235"/>
      <c r="E261" s="105"/>
      <c r="F261" s="232"/>
      <c r="G261" s="232"/>
      <c r="H261" s="1390"/>
      <c r="I261" s="1390"/>
      <c r="J261" s="1378"/>
      <c r="K261" s="1379"/>
    </row>
    <row r="262" spans="1:11" ht="47.25">
      <c r="A262" s="144">
        <v>4</v>
      </c>
      <c r="B262" s="950" t="s">
        <v>188</v>
      </c>
      <c r="C262" s="888" t="s">
        <v>1243</v>
      </c>
      <c r="D262" s="234" t="s">
        <v>87</v>
      </c>
      <c r="E262" s="105">
        <f>2.09*3</f>
        <v>6.27</v>
      </c>
      <c r="F262" s="807"/>
      <c r="G262" s="64">
        <f>F262*E262</f>
        <v>0</v>
      </c>
      <c r="H262" s="1393"/>
      <c r="I262" s="1393"/>
      <c r="J262" s="1378"/>
      <c r="K262" s="1379"/>
    </row>
    <row r="263" spans="1:11">
      <c r="A263" s="231"/>
      <c r="B263" s="983"/>
      <c r="C263" s="865"/>
      <c r="D263" s="235"/>
      <c r="E263" s="105"/>
      <c r="F263" s="232"/>
      <c r="G263" s="232"/>
      <c r="H263" s="1390"/>
      <c r="I263" s="1390"/>
      <c r="J263" s="1378"/>
      <c r="K263" s="1379"/>
    </row>
    <row r="264" spans="1:11" ht="63">
      <c r="A264" s="144">
        <v>5</v>
      </c>
      <c r="B264" s="950" t="s">
        <v>189</v>
      </c>
      <c r="C264" s="888" t="s">
        <v>1243</v>
      </c>
      <c r="D264" s="234" t="s">
        <v>176</v>
      </c>
      <c r="E264" s="105">
        <v>109.88</v>
      </c>
      <c r="F264" s="807"/>
      <c r="G264" s="64">
        <f>F264*E264</f>
        <v>0</v>
      </c>
      <c r="H264" s="1393"/>
      <c r="I264" s="1393"/>
      <c r="J264" s="1378"/>
      <c r="K264" s="1379"/>
    </row>
    <row r="265" spans="1:11">
      <c r="A265" s="211"/>
      <c r="B265" s="983"/>
      <c r="C265" s="865"/>
      <c r="D265" s="235"/>
      <c r="E265" s="105"/>
      <c r="F265" s="232"/>
      <c r="G265" s="232"/>
      <c r="H265" s="1390"/>
      <c r="I265" s="1390"/>
      <c r="J265" s="1378"/>
      <c r="K265" s="1379"/>
    </row>
    <row r="266" spans="1:11" ht="63">
      <c r="A266" s="144">
        <v>6</v>
      </c>
      <c r="B266" s="950" t="s">
        <v>190</v>
      </c>
      <c r="C266" s="888" t="s">
        <v>1243</v>
      </c>
      <c r="D266" s="234" t="s">
        <v>176</v>
      </c>
      <c r="E266" s="105">
        <v>58.65</v>
      </c>
      <c r="F266" s="807"/>
      <c r="G266" s="64">
        <f>F266*E266</f>
        <v>0</v>
      </c>
      <c r="H266" s="1393"/>
      <c r="I266" s="1393"/>
      <c r="J266" s="1378"/>
      <c r="K266" s="1379"/>
    </row>
    <row r="267" spans="1:11">
      <c r="A267" s="231"/>
      <c r="B267" s="983"/>
      <c r="C267" s="865"/>
      <c r="D267" s="235"/>
      <c r="E267" s="105"/>
      <c r="F267" s="232"/>
      <c r="G267" s="232"/>
      <c r="H267" s="1390"/>
      <c r="I267" s="1390"/>
      <c r="J267" s="1378"/>
      <c r="K267" s="1379"/>
    </row>
    <row r="268" spans="1:11" ht="63">
      <c r="A268" s="144">
        <v>7</v>
      </c>
      <c r="B268" s="950" t="s">
        <v>191</v>
      </c>
      <c r="C268" s="888" t="s">
        <v>1243</v>
      </c>
      <c r="D268" s="234" t="s">
        <v>87</v>
      </c>
      <c r="E268" s="105">
        <v>14.75</v>
      </c>
      <c r="F268" s="807"/>
      <c r="G268" s="238">
        <f>F268*E268</f>
        <v>0</v>
      </c>
      <c r="H268" s="1393"/>
      <c r="I268" s="1393"/>
      <c r="J268" s="1378"/>
      <c r="K268" s="1379"/>
    </row>
    <row r="269" spans="1:11">
      <c r="A269" s="231"/>
      <c r="B269" s="983"/>
      <c r="C269" s="865"/>
      <c r="D269" s="235"/>
      <c r="E269" s="105"/>
      <c r="F269" s="232"/>
      <c r="G269" s="232"/>
      <c r="H269" s="1390"/>
      <c r="I269" s="1390"/>
      <c r="J269" s="1378"/>
      <c r="K269" s="1379"/>
    </row>
    <row r="270" spans="1:11" ht="47.25">
      <c r="A270" s="144">
        <v>8</v>
      </c>
      <c r="B270" s="950" t="s">
        <v>192</v>
      </c>
      <c r="C270" s="888" t="s">
        <v>1243</v>
      </c>
      <c r="D270" s="234" t="s">
        <v>176</v>
      </c>
      <c r="E270" s="105">
        <v>15.7</v>
      </c>
      <c r="F270" s="807"/>
      <c r="G270" s="64">
        <f>F270*E270</f>
        <v>0</v>
      </c>
      <c r="H270" s="1393"/>
      <c r="I270" s="1393"/>
      <c r="J270" s="1378"/>
      <c r="K270" s="1379"/>
    </row>
    <row r="271" spans="1:11">
      <c r="A271" s="231"/>
      <c r="B271" s="983"/>
      <c r="C271" s="865"/>
      <c r="D271" s="235"/>
      <c r="E271" s="236"/>
      <c r="F271" s="232"/>
      <c r="G271" s="232"/>
      <c r="H271" s="1390"/>
      <c r="I271" s="1390"/>
      <c r="J271" s="1378"/>
      <c r="K271" s="1379"/>
    </row>
    <row r="272" spans="1:11" ht="78.75">
      <c r="A272" s="144">
        <v>9</v>
      </c>
      <c r="B272" s="950" t="s">
        <v>193</v>
      </c>
      <c r="C272" s="888" t="s">
        <v>1243</v>
      </c>
      <c r="D272" s="234" t="s">
        <v>176</v>
      </c>
      <c r="E272" s="81">
        <f>7*1.05+2*0.85+11*1.05+2*0.85</f>
        <v>22.3</v>
      </c>
      <c r="F272" s="807"/>
      <c r="G272" s="64">
        <f>F272*E272</f>
        <v>0</v>
      </c>
      <c r="H272" s="1393"/>
      <c r="I272" s="1393"/>
      <c r="J272" s="1378"/>
      <c r="K272" s="1379"/>
    </row>
    <row r="273" spans="1:11">
      <c r="A273" s="95"/>
      <c r="B273" s="976" t="s">
        <v>194</v>
      </c>
      <c r="C273" s="846"/>
      <c r="D273" s="155"/>
      <c r="E273" s="156"/>
      <c r="F273" s="98"/>
      <c r="G273" s="99">
        <f>SUM(G256:G272)</f>
        <v>0</v>
      </c>
      <c r="H273" s="1396"/>
      <c r="I273" s="1396"/>
      <c r="J273" s="1378"/>
      <c r="K273" s="1379"/>
    </row>
    <row r="274" spans="1:11">
      <c r="A274" s="116"/>
      <c r="B274" s="977"/>
      <c r="C274" s="847"/>
      <c r="D274" s="186"/>
      <c r="E274" s="187"/>
      <c r="F274" s="120"/>
      <c r="G274" s="120"/>
      <c r="H274" s="1390"/>
      <c r="I274" s="1390"/>
      <c r="J274" s="1378"/>
      <c r="K274" s="1379"/>
    </row>
    <row r="275" spans="1:11" ht="31.5">
      <c r="A275" s="69"/>
      <c r="B275" s="981" t="s">
        <v>195</v>
      </c>
      <c r="C275" s="1188" t="s">
        <v>1244</v>
      </c>
      <c r="D275" s="70"/>
      <c r="E275" s="121"/>
      <c r="F275" s="109"/>
      <c r="G275" s="122"/>
      <c r="H275" s="1391"/>
      <c r="I275" s="1391"/>
      <c r="J275" s="1378"/>
      <c r="K275" s="1379"/>
    </row>
    <row r="276" spans="1:11">
      <c r="A276" s="116"/>
      <c r="B276" s="977"/>
      <c r="C276" s="847"/>
      <c r="D276" s="186"/>
      <c r="E276" s="187"/>
      <c r="F276" s="120"/>
      <c r="G276" s="120"/>
      <c r="H276" s="1390"/>
      <c r="I276" s="1390"/>
      <c r="J276" s="1378"/>
      <c r="K276" s="1379"/>
    </row>
    <row r="277" spans="1:11" ht="47.25">
      <c r="A277" s="144">
        <v>1</v>
      </c>
      <c r="B277" s="950" t="s">
        <v>1126</v>
      </c>
      <c r="C277" s="888" t="s">
        <v>1243</v>
      </c>
      <c r="D277" s="191"/>
      <c r="E277" s="107"/>
      <c r="F277" s="243"/>
      <c r="G277" s="88"/>
      <c r="H277" s="1407"/>
      <c r="I277" s="1407"/>
      <c r="J277" s="1378"/>
      <c r="K277" s="1379"/>
    </row>
    <row r="278" spans="1:11" ht="47.25">
      <c r="A278" s="244"/>
      <c r="B278" s="968" t="s">
        <v>1127</v>
      </c>
      <c r="C278" s="854"/>
      <c r="D278" s="220" t="s">
        <v>87</v>
      </c>
      <c r="E278" s="146">
        <v>237.42</v>
      </c>
      <c r="F278" s="807"/>
      <c r="G278" s="82">
        <f>F278*E278</f>
        <v>0</v>
      </c>
      <c r="H278" s="1393"/>
      <c r="I278" s="1393"/>
      <c r="J278" s="1378"/>
      <c r="K278" s="1379"/>
    </row>
    <row r="279" spans="1:11">
      <c r="A279" s="246"/>
      <c r="B279" s="966"/>
      <c r="C279" s="852"/>
      <c r="D279" s="242"/>
      <c r="E279" s="212"/>
      <c r="F279" s="210"/>
      <c r="G279" s="210"/>
      <c r="H279" s="1391"/>
      <c r="I279" s="1391"/>
      <c r="J279" s="1378"/>
      <c r="K279" s="1379"/>
    </row>
    <row r="280" spans="1:11" ht="47.25">
      <c r="A280" s="144">
        <v>2</v>
      </c>
      <c r="B280" s="968" t="s">
        <v>1126</v>
      </c>
      <c r="C280" s="888" t="s">
        <v>1243</v>
      </c>
      <c r="D280" s="191"/>
      <c r="E280" s="105"/>
      <c r="F280" s="88"/>
      <c r="G280" s="88"/>
      <c r="H280" s="1391"/>
      <c r="I280" s="1391"/>
      <c r="J280" s="1378"/>
      <c r="K280" s="1379"/>
    </row>
    <row r="281" spans="1:11" ht="47.25">
      <c r="A281" s="244"/>
      <c r="B281" s="968" t="s">
        <v>1128</v>
      </c>
      <c r="C281" s="854"/>
      <c r="D281" s="220" t="s">
        <v>87</v>
      </c>
      <c r="E281" s="105">
        <v>29.18</v>
      </c>
      <c r="F281" s="807"/>
      <c r="G281" s="82">
        <f>F281*E281</f>
        <v>0</v>
      </c>
      <c r="H281" s="1393"/>
      <c r="I281" s="1393"/>
      <c r="J281" s="1378"/>
      <c r="K281" s="1379"/>
    </row>
    <row r="282" spans="1:11">
      <c r="A282" s="246"/>
      <c r="B282" s="985"/>
      <c r="C282" s="208"/>
      <c r="D282" s="242"/>
      <c r="E282" s="105"/>
      <c r="F282" s="210"/>
      <c r="G282" s="210"/>
      <c r="H282" s="1391"/>
      <c r="I282" s="1391"/>
      <c r="J282" s="1378"/>
      <c r="K282" s="1379"/>
    </row>
    <row r="283" spans="1:11" ht="47.25">
      <c r="A283" s="73">
        <v>3</v>
      </c>
      <c r="B283" s="960" t="s">
        <v>1129</v>
      </c>
      <c r="C283" s="888" t="s">
        <v>1243</v>
      </c>
      <c r="D283" s="191"/>
      <c r="E283" s="105"/>
      <c r="F283" s="88"/>
      <c r="G283" s="88"/>
      <c r="H283" s="1391"/>
      <c r="I283" s="1391"/>
      <c r="J283" s="1378"/>
      <c r="K283" s="1379"/>
    </row>
    <row r="284" spans="1:11" ht="110.25">
      <c r="A284" s="75"/>
      <c r="B284" s="960" t="s">
        <v>1130</v>
      </c>
      <c r="C284" s="850"/>
      <c r="D284" s="220" t="s">
        <v>87</v>
      </c>
      <c r="E284" s="105">
        <v>282.83999999999997</v>
      </c>
      <c r="F284" s="807"/>
      <c r="G284" s="82">
        <f>F284*E284</f>
        <v>0</v>
      </c>
      <c r="H284" s="1393"/>
      <c r="I284" s="1393"/>
      <c r="J284" s="1378"/>
      <c r="K284" s="1379"/>
    </row>
    <row r="285" spans="1:11">
      <c r="A285" s="246"/>
      <c r="B285" s="985"/>
      <c r="C285" s="208"/>
      <c r="D285" s="242"/>
      <c r="E285" s="212"/>
      <c r="F285" s="210"/>
      <c r="G285" s="210"/>
      <c r="H285" s="1391"/>
      <c r="I285" s="1391"/>
      <c r="J285" s="1378"/>
      <c r="K285" s="1379"/>
    </row>
    <row r="286" spans="1:11" ht="47.25">
      <c r="A286" s="73">
        <v>4</v>
      </c>
      <c r="B286" s="960" t="s">
        <v>1129</v>
      </c>
      <c r="C286" s="888" t="s">
        <v>1243</v>
      </c>
      <c r="D286" s="242"/>
      <c r="E286" s="212"/>
      <c r="F286" s="210"/>
      <c r="G286" s="210"/>
      <c r="H286" s="1391"/>
      <c r="I286" s="1391"/>
      <c r="J286" s="1378"/>
      <c r="K286" s="1379"/>
    </row>
    <row r="287" spans="1:11" ht="110.25">
      <c r="A287" s="246"/>
      <c r="B287" s="960" t="s">
        <v>1131</v>
      </c>
      <c r="C287" s="850"/>
      <c r="D287" s="220" t="s">
        <v>87</v>
      </c>
      <c r="E287" s="105">
        <f>2.05*3.4</f>
        <v>6.9699999999999989</v>
      </c>
      <c r="F287" s="807"/>
      <c r="G287" s="82">
        <f>F287*E287</f>
        <v>0</v>
      </c>
      <c r="H287" s="1393"/>
      <c r="I287" s="1393"/>
      <c r="J287" s="1378"/>
      <c r="K287" s="1379"/>
    </row>
    <row r="288" spans="1:11">
      <c r="A288" s="246"/>
      <c r="B288" s="985"/>
      <c r="C288" s="208"/>
      <c r="D288" s="242"/>
      <c r="E288" s="105"/>
      <c r="F288" s="210"/>
      <c r="G288" s="210"/>
      <c r="H288" s="1391"/>
      <c r="I288" s="1391"/>
      <c r="J288" s="1378"/>
      <c r="K288" s="1379"/>
    </row>
    <row r="289" spans="1:11" ht="47.25">
      <c r="A289" s="73">
        <v>5</v>
      </c>
      <c r="B289" s="960" t="s">
        <v>1129</v>
      </c>
      <c r="C289" s="888" t="s">
        <v>1243</v>
      </c>
      <c r="D289" s="191"/>
      <c r="E289" s="105"/>
      <c r="F289" s="88"/>
      <c r="G289" s="88"/>
      <c r="H289" s="1391"/>
      <c r="I289" s="1391"/>
      <c r="J289" s="1378"/>
      <c r="K289" s="1379"/>
    </row>
    <row r="290" spans="1:11" ht="145.5" customHeight="1">
      <c r="A290" s="244"/>
      <c r="B290" s="960" t="s">
        <v>1132</v>
      </c>
      <c r="C290" s="850"/>
      <c r="D290" s="220" t="s">
        <v>87</v>
      </c>
      <c r="E290" s="105">
        <v>93.33</v>
      </c>
      <c r="F290" s="807"/>
      <c r="G290" s="82">
        <f>F290*E290</f>
        <v>0</v>
      </c>
      <c r="H290" s="1393"/>
      <c r="I290" s="1393"/>
      <c r="J290" s="1378"/>
      <c r="K290" s="1379"/>
    </row>
    <row r="291" spans="1:11">
      <c r="A291" s="246"/>
      <c r="B291" s="985"/>
      <c r="C291" s="208"/>
      <c r="D291" s="242"/>
      <c r="E291" s="212"/>
      <c r="F291" s="210"/>
      <c r="G291" s="210"/>
      <c r="H291" s="1391"/>
      <c r="I291" s="1391"/>
      <c r="J291" s="1378"/>
      <c r="K291" s="1379"/>
    </row>
    <row r="292" spans="1:11" ht="31.5">
      <c r="A292" s="73">
        <v>6</v>
      </c>
      <c r="B292" s="986" t="s">
        <v>1133</v>
      </c>
      <c r="C292" s="888" t="s">
        <v>1243</v>
      </c>
      <c r="D292" s="247"/>
      <c r="E292" s="105"/>
      <c r="F292" s="88"/>
      <c r="G292" s="88"/>
      <c r="H292" s="1391"/>
      <c r="I292" s="1391"/>
      <c r="J292" s="1378"/>
      <c r="K292" s="1379"/>
    </row>
    <row r="293" spans="1:11" ht="94.5">
      <c r="A293" s="75"/>
      <c r="B293" s="960" t="s">
        <v>1134</v>
      </c>
      <c r="C293" s="850"/>
      <c r="D293" s="220" t="s">
        <v>87</v>
      </c>
      <c r="E293" s="105">
        <v>57.15</v>
      </c>
      <c r="F293" s="807"/>
      <c r="G293" s="82">
        <f>F293*E293</f>
        <v>0</v>
      </c>
      <c r="H293" s="1393"/>
      <c r="I293" s="1393"/>
      <c r="J293" s="1378"/>
      <c r="K293" s="1379"/>
    </row>
    <row r="294" spans="1:11">
      <c r="A294" s="246"/>
      <c r="B294" s="987"/>
      <c r="C294" s="866"/>
      <c r="D294" s="226"/>
      <c r="E294" s="105"/>
      <c r="F294" s="248"/>
      <c r="G294" s="248"/>
      <c r="H294" s="1408"/>
      <c r="I294" s="1408"/>
      <c r="J294" s="1378"/>
      <c r="K294" s="1379"/>
    </row>
    <row r="295" spans="1:11" ht="31.5">
      <c r="A295" s="73">
        <v>7</v>
      </c>
      <c r="B295" s="986" t="s">
        <v>1133</v>
      </c>
      <c r="C295" s="888" t="s">
        <v>1243</v>
      </c>
      <c r="D295" s="81"/>
      <c r="E295" s="105"/>
      <c r="F295" s="139"/>
      <c r="G295" s="139"/>
      <c r="H295" s="1408"/>
      <c r="I295" s="1408"/>
      <c r="J295" s="1378"/>
      <c r="K295" s="1379"/>
    </row>
    <row r="296" spans="1:11" ht="78.75">
      <c r="A296" s="244"/>
      <c r="B296" s="960" t="s">
        <v>1125</v>
      </c>
      <c r="C296" s="850"/>
      <c r="D296" s="220" t="s">
        <v>87</v>
      </c>
      <c r="E296" s="105">
        <v>18.53</v>
      </c>
      <c r="F296" s="807"/>
      <c r="G296" s="82">
        <f>F296*E296</f>
        <v>0</v>
      </c>
      <c r="H296" s="1393"/>
      <c r="I296" s="1393"/>
      <c r="J296" s="1378"/>
      <c r="K296" s="1379"/>
    </row>
    <row r="297" spans="1:11">
      <c r="A297" s="246"/>
      <c r="B297" s="985"/>
      <c r="C297" s="208"/>
      <c r="D297" s="226"/>
      <c r="E297" s="213"/>
      <c r="F297" s="248"/>
      <c r="G297" s="248"/>
      <c r="H297" s="1408"/>
      <c r="I297" s="1408"/>
      <c r="J297" s="1378"/>
      <c r="K297" s="1379"/>
    </row>
    <row r="298" spans="1:11">
      <c r="A298" s="244"/>
      <c r="B298" s="972" t="s">
        <v>196</v>
      </c>
      <c r="C298" s="857"/>
      <c r="D298" s="67"/>
      <c r="E298" s="107"/>
      <c r="F298" s="88"/>
      <c r="G298" s="88"/>
      <c r="H298" s="1391"/>
      <c r="I298" s="1391"/>
      <c r="J298" s="1378"/>
      <c r="K298" s="1379"/>
    </row>
    <row r="299" spans="1:11">
      <c r="A299" s="244"/>
      <c r="B299" s="988"/>
      <c r="C299" s="457"/>
      <c r="D299" s="191"/>
      <c r="E299" s="107"/>
      <c r="F299" s="88"/>
      <c r="G299" s="88"/>
      <c r="H299" s="1391"/>
      <c r="I299" s="1391"/>
      <c r="J299" s="1378"/>
      <c r="K299" s="1379"/>
    </row>
    <row r="300" spans="1:11">
      <c r="A300" s="144">
        <v>8</v>
      </c>
      <c r="B300" s="950" t="s">
        <v>197</v>
      </c>
      <c r="C300" s="888" t="s">
        <v>1243</v>
      </c>
      <c r="D300" s="249" t="s">
        <v>11</v>
      </c>
      <c r="E300" s="105">
        <v>4</v>
      </c>
      <c r="F300" s="807"/>
      <c r="G300" s="88">
        <f>+F300*E300</f>
        <v>0</v>
      </c>
      <c r="H300" s="1397"/>
      <c r="I300" s="1397"/>
      <c r="J300" s="1378"/>
      <c r="K300" s="1379"/>
    </row>
    <row r="301" spans="1:11">
      <c r="A301" s="246"/>
      <c r="B301" s="985"/>
      <c r="C301" s="208"/>
      <c r="D301" s="242"/>
      <c r="E301" s="105"/>
      <c r="F301" s="210"/>
      <c r="G301" s="210"/>
      <c r="H301" s="1391"/>
      <c r="I301" s="1391"/>
      <c r="J301" s="1378"/>
      <c r="K301" s="1379"/>
    </row>
    <row r="302" spans="1:11">
      <c r="A302" s="144">
        <v>9</v>
      </c>
      <c r="B302" s="963" t="s">
        <v>198</v>
      </c>
      <c r="C302" s="888" t="s">
        <v>1243</v>
      </c>
      <c r="D302" s="220" t="s">
        <v>11</v>
      </c>
      <c r="E302" s="105">
        <v>37</v>
      </c>
      <c r="F302" s="807"/>
      <c r="G302" s="88">
        <f>+F302*E302</f>
        <v>0</v>
      </c>
      <c r="H302" s="1392"/>
      <c r="I302" s="1392"/>
      <c r="J302" s="1378"/>
      <c r="K302" s="1379"/>
    </row>
    <row r="303" spans="1:11">
      <c r="A303" s="211"/>
      <c r="B303" s="989"/>
      <c r="C303" s="865"/>
      <c r="D303" s="225"/>
      <c r="E303" s="105"/>
      <c r="F303" s="250"/>
      <c r="G303" s="214"/>
      <c r="H303" s="1406"/>
      <c r="I303" s="1406"/>
      <c r="J303" s="1378"/>
      <c r="K303" s="1379"/>
    </row>
    <row r="304" spans="1:11">
      <c r="A304" s="144">
        <v>10</v>
      </c>
      <c r="B304" s="182" t="s">
        <v>199</v>
      </c>
      <c r="C304" s="888" t="s">
        <v>1243</v>
      </c>
      <c r="D304" s="67"/>
      <c r="E304" s="105"/>
      <c r="F304" s="139"/>
      <c r="G304" s="82"/>
      <c r="H304" s="1408"/>
      <c r="I304" s="1408"/>
      <c r="J304" s="1378"/>
      <c r="K304" s="1379"/>
    </row>
    <row r="305" spans="1:11">
      <c r="A305" s="143"/>
      <c r="B305" s="990" t="s">
        <v>200</v>
      </c>
      <c r="C305" s="868"/>
      <c r="D305" s="249" t="s">
        <v>11</v>
      </c>
      <c r="E305" s="67">
        <v>2</v>
      </c>
      <c r="F305" s="807"/>
      <c r="G305" s="82">
        <f>+F305*E305</f>
        <v>0</v>
      </c>
      <c r="H305" s="1397"/>
      <c r="I305" s="1397"/>
      <c r="J305" s="1378"/>
      <c r="K305" s="1379"/>
    </row>
    <row r="306" spans="1:11">
      <c r="A306" s="211"/>
      <c r="B306" s="250"/>
      <c r="C306" s="869"/>
      <c r="D306" s="226"/>
      <c r="E306" s="225"/>
      <c r="F306" s="248"/>
      <c r="G306" s="214"/>
      <c r="H306" s="1408"/>
      <c r="I306" s="1408"/>
      <c r="J306" s="1378"/>
      <c r="K306" s="1379"/>
    </row>
    <row r="307" spans="1:11" ht="78.75">
      <c r="A307" s="144">
        <v>11</v>
      </c>
      <c r="B307" s="963" t="s">
        <v>201</v>
      </c>
      <c r="C307" s="888" t="s">
        <v>1243</v>
      </c>
      <c r="D307" s="220" t="s">
        <v>11</v>
      </c>
      <c r="E307" s="67">
        <v>2</v>
      </c>
      <c r="F307" s="807"/>
      <c r="G307" s="82">
        <f>+F307*E307</f>
        <v>0</v>
      </c>
      <c r="H307" s="1392"/>
      <c r="I307" s="1392"/>
      <c r="J307" s="1378"/>
      <c r="K307" s="1379"/>
    </row>
    <row r="308" spans="1:11">
      <c r="A308" s="211"/>
      <c r="B308" s="250"/>
      <c r="C308" s="869"/>
      <c r="D308" s="226"/>
      <c r="E308" s="225"/>
      <c r="F308" s="248"/>
      <c r="G308" s="214"/>
      <c r="H308" s="1408"/>
      <c r="I308" s="1408"/>
      <c r="J308" s="1378"/>
      <c r="K308" s="1379"/>
    </row>
    <row r="309" spans="1:11" ht="94.5">
      <c r="A309" s="144">
        <v>12</v>
      </c>
      <c r="B309" s="950" t="s">
        <v>202</v>
      </c>
      <c r="C309" s="888" t="s">
        <v>1243</v>
      </c>
      <c r="D309" s="67"/>
      <c r="E309" s="67"/>
      <c r="F309" s="219"/>
      <c r="G309" s="82"/>
      <c r="H309" s="1406"/>
      <c r="I309" s="1406"/>
      <c r="J309" s="1378"/>
      <c r="K309" s="1379"/>
    </row>
    <row r="310" spans="1:11">
      <c r="A310" s="251"/>
      <c r="B310" s="990" t="s">
        <v>203</v>
      </c>
      <c r="C310" s="868"/>
      <c r="D310" s="249" t="s">
        <v>11</v>
      </c>
      <c r="E310" s="89">
        <v>10</v>
      </c>
      <c r="F310" s="807"/>
      <c r="G310" s="82">
        <f>+F310*E310</f>
        <v>0</v>
      </c>
      <c r="H310" s="1397"/>
      <c r="I310" s="1397"/>
      <c r="J310" s="1378"/>
      <c r="K310" s="1379"/>
    </row>
    <row r="311" spans="1:11">
      <c r="A311" s="211"/>
      <c r="B311" s="989"/>
      <c r="C311" s="865"/>
      <c r="D311" s="226"/>
      <c r="E311" s="212"/>
      <c r="F311" s="248"/>
      <c r="G311" s="214"/>
      <c r="H311" s="1408"/>
      <c r="I311" s="1408"/>
      <c r="J311" s="1378"/>
      <c r="K311" s="1379"/>
    </row>
    <row r="312" spans="1:11">
      <c r="A312" s="143"/>
      <c r="B312" s="991" t="s">
        <v>204</v>
      </c>
      <c r="C312" s="870"/>
      <c r="D312" s="81"/>
      <c r="E312" s="107"/>
      <c r="F312" s="139"/>
      <c r="G312" s="82"/>
      <c r="H312" s="1408"/>
      <c r="I312" s="1408"/>
      <c r="J312" s="1378"/>
      <c r="K312" s="1379"/>
    </row>
    <row r="313" spans="1:11">
      <c r="A313" s="211"/>
      <c r="B313" s="992"/>
      <c r="C313" s="871"/>
      <c r="D313" s="226"/>
      <c r="E313" s="212"/>
      <c r="F313" s="248"/>
      <c r="G313" s="214"/>
      <c r="H313" s="1408"/>
      <c r="I313" s="1408"/>
      <c r="J313" s="1378"/>
      <c r="K313" s="1379"/>
    </row>
    <row r="314" spans="1:11" ht="31.5">
      <c r="A314" s="144">
        <v>13</v>
      </c>
      <c r="B314" s="950" t="s">
        <v>205</v>
      </c>
      <c r="C314" s="888" t="s">
        <v>1243</v>
      </c>
      <c r="D314" s="81"/>
      <c r="E314" s="107"/>
      <c r="F314" s="139"/>
      <c r="G314" s="82"/>
      <c r="H314" s="1408"/>
      <c r="I314" s="1408"/>
      <c r="J314" s="1378"/>
      <c r="K314" s="1379"/>
    </row>
    <row r="315" spans="1:11" ht="63">
      <c r="A315" s="143"/>
      <c r="B315" s="993" t="s">
        <v>206</v>
      </c>
      <c r="C315" s="867"/>
      <c r="D315" s="220" t="s">
        <v>87</v>
      </c>
      <c r="E315" s="146">
        <v>292.67</v>
      </c>
      <c r="F315" s="807"/>
      <c r="G315" s="82">
        <f>+F315*E315</f>
        <v>0</v>
      </c>
      <c r="H315" s="1393"/>
      <c r="I315" s="1393"/>
      <c r="J315" s="1378"/>
      <c r="K315" s="1379"/>
    </row>
    <row r="316" spans="1:11">
      <c r="A316" s="211"/>
      <c r="B316" s="989"/>
      <c r="C316" s="865"/>
      <c r="D316" s="226"/>
      <c r="E316" s="212"/>
      <c r="F316" s="248"/>
      <c r="G316" s="214"/>
      <c r="H316" s="1408"/>
      <c r="I316" s="1408"/>
      <c r="J316" s="1378"/>
      <c r="K316" s="1379"/>
    </row>
    <row r="317" spans="1:11" ht="47.25">
      <c r="A317" s="144">
        <v>14</v>
      </c>
      <c r="B317" s="950" t="s">
        <v>207</v>
      </c>
      <c r="C317" s="888" t="s">
        <v>1243</v>
      </c>
      <c r="D317" s="81"/>
      <c r="E317" s="107"/>
      <c r="F317" s="139"/>
      <c r="G317" s="82"/>
      <c r="H317" s="1408"/>
      <c r="I317" s="1408"/>
      <c r="J317" s="1378"/>
      <c r="K317" s="1379"/>
    </row>
    <row r="318" spans="1:11" ht="47.25">
      <c r="A318" s="143"/>
      <c r="B318" s="950" t="s">
        <v>208</v>
      </c>
      <c r="C318" s="845"/>
      <c r="D318" s="220" t="s">
        <v>87</v>
      </c>
      <c r="E318" s="89">
        <f>6.54+4.86+2.44+4.5</f>
        <v>18.34</v>
      </c>
      <c r="F318" s="807"/>
      <c r="G318" s="82">
        <f>F318*E318</f>
        <v>0</v>
      </c>
      <c r="H318" s="1393"/>
      <c r="I318" s="1393"/>
      <c r="J318" s="1378"/>
      <c r="K318" s="1379"/>
    </row>
    <row r="319" spans="1:11">
      <c r="A319" s="211"/>
      <c r="B319" s="983"/>
      <c r="C319" s="865"/>
      <c r="D319" s="225"/>
      <c r="E319" s="226"/>
      <c r="F319" s="214"/>
      <c r="G319" s="214"/>
      <c r="H319" s="1391"/>
      <c r="I319" s="1391"/>
      <c r="J319" s="1378"/>
      <c r="K319" s="1379"/>
    </row>
    <row r="320" spans="1:11" ht="31.5">
      <c r="A320" s="144">
        <v>15</v>
      </c>
      <c r="B320" s="991" t="s">
        <v>209</v>
      </c>
      <c r="C320" s="888" t="s">
        <v>1243</v>
      </c>
      <c r="D320" s="252"/>
      <c r="E320" s="252"/>
      <c r="F320" s="253"/>
      <c r="G320" s="253"/>
      <c r="H320" s="1409"/>
      <c r="I320" s="1410"/>
      <c r="J320" s="1378"/>
      <c r="K320" s="1379"/>
    </row>
    <row r="321" spans="1:11" ht="47.25">
      <c r="A321" s="143"/>
      <c r="B321" s="950" t="s">
        <v>210</v>
      </c>
      <c r="C321" s="845"/>
      <c r="D321" s="220" t="s">
        <v>87</v>
      </c>
      <c r="E321" s="89">
        <f>5.33+5.64+5.49</f>
        <v>16.46</v>
      </c>
      <c r="F321" s="807"/>
      <c r="G321" s="139">
        <f>+F321*E321</f>
        <v>0</v>
      </c>
      <c r="H321" s="1397"/>
      <c r="I321" s="1397"/>
      <c r="J321" s="1378"/>
      <c r="K321" s="1379"/>
    </row>
    <row r="322" spans="1:11">
      <c r="A322" s="211"/>
      <c r="B322" s="983"/>
      <c r="C322" s="865"/>
      <c r="D322" s="225"/>
      <c r="E322" s="226"/>
      <c r="F322" s="214"/>
      <c r="G322" s="214"/>
      <c r="H322" s="1391"/>
      <c r="I322" s="1391"/>
      <c r="J322" s="1378"/>
      <c r="K322" s="1379"/>
    </row>
    <row r="323" spans="1:11" ht="94.5">
      <c r="A323" s="144">
        <v>16</v>
      </c>
      <c r="B323" s="950" t="s">
        <v>211</v>
      </c>
      <c r="C323" s="888" t="s">
        <v>1243</v>
      </c>
      <c r="D323" s="81"/>
      <c r="E323" s="89"/>
      <c r="F323" s="139"/>
      <c r="G323" s="82"/>
      <c r="H323" s="1408"/>
      <c r="I323" s="1408"/>
      <c r="J323" s="1378"/>
      <c r="K323" s="1379"/>
    </row>
    <row r="324" spans="1:11">
      <c r="A324" s="143"/>
      <c r="B324" s="990" t="s">
        <v>146</v>
      </c>
      <c r="C324" s="868"/>
      <c r="D324" s="67"/>
      <c r="E324" s="89"/>
      <c r="F324" s="139"/>
      <c r="G324" s="82"/>
      <c r="H324" s="1408"/>
      <c r="I324" s="1408"/>
      <c r="J324" s="1378"/>
      <c r="K324" s="1379"/>
    </row>
    <row r="325" spans="1:11">
      <c r="A325" s="143"/>
      <c r="B325" s="950" t="s">
        <v>212</v>
      </c>
      <c r="C325" s="845"/>
      <c r="D325" s="249" t="s">
        <v>11</v>
      </c>
      <c r="E325" s="89">
        <v>4</v>
      </c>
      <c r="F325" s="807"/>
      <c r="G325" s="82">
        <f>F325*E325</f>
        <v>0</v>
      </c>
      <c r="H325" s="1397"/>
      <c r="I325" s="1397"/>
      <c r="J325" s="1378"/>
      <c r="K325" s="1379"/>
    </row>
    <row r="326" spans="1:11">
      <c r="A326" s="143"/>
      <c r="B326" s="950" t="s">
        <v>213</v>
      </c>
      <c r="C326" s="845"/>
      <c r="D326" s="249" t="s">
        <v>11</v>
      </c>
      <c r="E326" s="89">
        <v>2</v>
      </c>
      <c r="F326" s="807"/>
      <c r="G326" s="82">
        <f>F326*E326</f>
        <v>0</v>
      </c>
      <c r="H326" s="1397"/>
      <c r="I326" s="1397"/>
      <c r="J326" s="1378"/>
      <c r="K326" s="1379"/>
    </row>
    <row r="327" spans="1:11">
      <c r="A327" s="95"/>
      <c r="B327" s="976" t="s">
        <v>214</v>
      </c>
      <c r="C327" s="846"/>
      <c r="D327" s="155"/>
      <c r="E327" s="156"/>
      <c r="F327" s="98"/>
      <c r="G327" s="99">
        <f>SUM(G278:G326)</f>
        <v>0</v>
      </c>
      <c r="H327" s="1396"/>
      <c r="I327" s="1396"/>
      <c r="J327" s="1378"/>
      <c r="K327" s="1379"/>
    </row>
    <row r="328" spans="1:11">
      <c r="A328" s="116"/>
      <c r="B328" s="977"/>
      <c r="C328" s="847"/>
      <c r="D328" s="186"/>
      <c r="E328" s="187"/>
      <c r="F328" s="120"/>
      <c r="G328" s="120"/>
      <c r="H328" s="1390"/>
      <c r="I328" s="1390"/>
      <c r="J328" s="1378"/>
      <c r="K328" s="1379"/>
    </row>
    <row r="329" spans="1:11">
      <c r="A329" s="69"/>
      <c r="B329" s="978" t="s">
        <v>215</v>
      </c>
      <c r="C329" s="1188" t="s">
        <v>1244</v>
      </c>
      <c r="D329" s="70"/>
      <c r="E329" s="121"/>
      <c r="F329" s="109"/>
      <c r="G329" s="122"/>
      <c r="H329" s="1391"/>
      <c r="I329" s="1391"/>
      <c r="J329" s="1378"/>
      <c r="K329" s="1379"/>
    </row>
    <row r="330" spans="1:11">
      <c r="A330" s="207"/>
      <c r="B330" s="994"/>
      <c r="C330" s="872"/>
      <c r="D330" s="242"/>
      <c r="E330" s="212"/>
      <c r="F330" s="210"/>
      <c r="G330" s="210"/>
      <c r="H330" s="1391"/>
      <c r="I330" s="1391"/>
      <c r="J330" s="1378"/>
      <c r="K330" s="1379"/>
    </row>
    <row r="331" spans="1:11" ht="63">
      <c r="A331" s="144">
        <v>1</v>
      </c>
      <c r="B331" s="950" t="s">
        <v>216</v>
      </c>
      <c r="C331" s="888" t="s">
        <v>1243</v>
      </c>
      <c r="D331" s="215" t="s">
        <v>87</v>
      </c>
      <c r="E331" s="257">
        <v>1460.63</v>
      </c>
      <c r="F331" s="807"/>
      <c r="G331" s="82">
        <f>F331*E331</f>
        <v>0</v>
      </c>
      <c r="H331" s="1393"/>
      <c r="I331" s="1393"/>
      <c r="J331" s="1378"/>
      <c r="K331" s="1379"/>
    </row>
    <row r="332" spans="1:11">
      <c r="A332" s="211"/>
      <c r="B332" s="983"/>
      <c r="C332" s="865"/>
      <c r="D332" s="212"/>
      <c r="E332" s="213"/>
      <c r="F332" s="214"/>
      <c r="G332" s="214"/>
      <c r="H332" s="1391"/>
      <c r="I332" s="1391"/>
      <c r="J332" s="1378"/>
      <c r="K332" s="1379"/>
    </row>
    <row r="333" spans="1:11" ht="63">
      <c r="A333" s="144">
        <v>2</v>
      </c>
      <c r="B333" s="950" t="s">
        <v>217</v>
      </c>
      <c r="C333" s="888" t="s">
        <v>1243</v>
      </c>
      <c r="D333" s="215" t="s">
        <v>87</v>
      </c>
      <c r="E333" s="257">
        <f>+(2.6+3.08)*2*2</f>
        <v>22.72</v>
      </c>
      <c r="F333" s="807"/>
      <c r="G333" s="82">
        <f>F333*E333</f>
        <v>0</v>
      </c>
      <c r="H333" s="1393"/>
      <c r="I333" s="1393"/>
      <c r="J333" s="1378"/>
      <c r="K333" s="1379"/>
    </row>
    <row r="334" spans="1:11">
      <c r="A334" s="95"/>
      <c r="B334" s="976" t="s">
        <v>194</v>
      </c>
      <c r="C334" s="846"/>
      <c r="D334" s="155"/>
      <c r="E334" s="156"/>
      <c r="F334" s="98"/>
      <c r="G334" s="99">
        <f>SUM(G331:G333)</f>
        <v>0</v>
      </c>
      <c r="H334" s="1396"/>
      <c r="I334" s="1396"/>
      <c r="J334" s="1378"/>
      <c r="K334" s="1379"/>
    </row>
    <row r="335" spans="1:11">
      <c r="A335" s="116"/>
      <c r="B335" s="977"/>
      <c r="C335" s="847"/>
      <c r="D335" s="186"/>
      <c r="E335" s="187"/>
      <c r="F335" s="120"/>
      <c r="G335" s="120"/>
      <c r="H335" s="1390"/>
      <c r="I335" s="1390"/>
      <c r="J335" s="1378"/>
      <c r="K335" s="1379"/>
    </row>
    <row r="336" spans="1:11">
      <c r="A336" s="69"/>
      <c r="B336" s="978" t="s">
        <v>218</v>
      </c>
      <c r="C336" s="1188" t="s">
        <v>1244</v>
      </c>
      <c r="D336" s="70"/>
      <c r="E336" s="121"/>
      <c r="F336" s="109"/>
      <c r="G336" s="122"/>
      <c r="H336" s="1391"/>
      <c r="I336" s="1391"/>
      <c r="J336" s="1378"/>
      <c r="K336" s="1379"/>
    </row>
    <row r="337" spans="1:11">
      <c r="A337" s="180"/>
      <c r="B337" s="982"/>
      <c r="C337" s="864"/>
      <c r="D337" s="193"/>
      <c r="E337" s="107"/>
      <c r="F337" s="88"/>
      <c r="G337" s="88"/>
      <c r="H337" s="1391"/>
      <c r="I337" s="1391"/>
      <c r="J337" s="1378"/>
      <c r="K337" s="1379"/>
    </row>
    <row r="338" spans="1:11" ht="94.5">
      <c r="A338" s="144">
        <v>1</v>
      </c>
      <c r="B338" s="995" t="s">
        <v>219</v>
      </c>
      <c r="C338" s="888" t="s">
        <v>1243</v>
      </c>
      <c r="D338" s="220" t="s">
        <v>87</v>
      </c>
      <c r="E338" s="105">
        <v>78.63</v>
      </c>
      <c r="F338" s="807"/>
      <c r="G338" s="219">
        <f>E338*F338</f>
        <v>0</v>
      </c>
      <c r="H338" s="1392"/>
      <c r="I338" s="1392"/>
      <c r="J338" s="1378"/>
      <c r="K338" s="1379"/>
    </row>
    <row r="339" spans="1:11">
      <c r="A339" s="224"/>
      <c r="B339" s="989"/>
      <c r="C339" s="865"/>
      <c r="D339" s="225"/>
      <c r="E339" s="105"/>
      <c r="F339" s="250"/>
      <c r="G339" s="250"/>
      <c r="H339" s="1406"/>
      <c r="I339" s="1406"/>
      <c r="J339" s="1378"/>
      <c r="K339" s="1379"/>
    </row>
    <row r="340" spans="1:11" ht="189">
      <c r="A340" s="144">
        <v>2</v>
      </c>
      <c r="B340" s="996" t="s">
        <v>220</v>
      </c>
      <c r="C340" s="888" t="s">
        <v>1243</v>
      </c>
      <c r="D340" s="220" t="s">
        <v>87</v>
      </c>
      <c r="E340" s="105">
        <v>233.17</v>
      </c>
      <c r="F340" s="807"/>
      <c r="G340" s="219">
        <f>F340*E340</f>
        <v>0</v>
      </c>
      <c r="H340" s="1392"/>
      <c r="I340" s="1392"/>
      <c r="J340" s="1378"/>
      <c r="K340" s="1379"/>
    </row>
    <row r="341" spans="1:11">
      <c r="A341" s="224"/>
      <c r="B341" s="989"/>
      <c r="C341" s="865"/>
      <c r="D341" s="225"/>
      <c r="E341" s="212"/>
      <c r="F341" s="250"/>
      <c r="G341" s="250"/>
      <c r="H341" s="1406"/>
      <c r="I341" s="1406"/>
      <c r="J341" s="1378"/>
      <c r="K341" s="1379"/>
    </row>
    <row r="342" spans="1:11" ht="173.25">
      <c r="A342" s="144">
        <v>3</v>
      </c>
      <c r="B342" s="996" t="s">
        <v>221</v>
      </c>
      <c r="C342" s="888" t="s">
        <v>1243</v>
      </c>
      <c r="D342" s="220" t="s">
        <v>87</v>
      </c>
      <c r="E342" s="89">
        <v>15.34</v>
      </c>
      <c r="F342" s="807"/>
      <c r="G342" s="219">
        <f>E342*F342</f>
        <v>0</v>
      </c>
      <c r="H342" s="1392"/>
      <c r="I342" s="1392"/>
      <c r="J342" s="1378"/>
      <c r="K342" s="1379"/>
    </row>
    <row r="343" spans="1:11">
      <c r="A343" s="75"/>
      <c r="B343" s="961"/>
      <c r="C343" s="78"/>
      <c r="D343" s="67"/>
      <c r="E343" s="89"/>
      <c r="F343" s="219"/>
      <c r="G343" s="219"/>
      <c r="H343" s="1406"/>
      <c r="I343" s="1406"/>
      <c r="J343" s="1378"/>
      <c r="K343" s="1379"/>
    </row>
    <row r="344" spans="1:11" ht="63">
      <c r="A344" s="73" t="s">
        <v>222</v>
      </c>
      <c r="B344" s="958" t="s">
        <v>223</v>
      </c>
      <c r="C344" s="888" t="s">
        <v>1243</v>
      </c>
      <c r="D344" s="220" t="s">
        <v>176</v>
      </c>
      <c r="E344" s="89">
        <f>5.45*2+2.7*5+0.9+3.75+4.34*2</f>
        <v>37.729999999999997</v>
      </c>
      <c r="F344" s="807"/>
      <c r="G344" s="219">
        <f>E344*F344</f>
        <v>0</v>
      </c>
      <c r="H344" s="1392"/>
      <c r="I344" s="1392"/>
      <c r="J344" s="1378"/>
      <c r="K344" s="1379"/>
    </row>
    <row r="345" spans="1:11">
      <c r="A345" s="75"/>
      <c r="B345" s="961"/>
      <c r="C345" s="78"/>
      <c r="D345" s="67"/>
      <c r="E345" s="89"/>
      <c r="F345" s="219"/>
      <c r="G345" s="219"/>
      <c r="H345" s="1406"/>
      <c r="I345" s="1406"/>
      <c r="J345" s="1378"/>
      <c r="K345" s="1379"/>
    </row>
    <row r="346" spans="1:11" ht="47.25">
      <c r="A346" s="73" t="s">
        <v>224</v>
      </c>
      <c r="B346" s="997" t="s">
        <v>225</v>
      </c>
      <c r="C346" s="888" t="s">
        <v>1243</v>
      </c>
      <c r="D346" s="220" t="s">
        <v>176</v>
      </c>
      <c r="E346" s="89">
        <f>6.5+7.85+3.9+1.75+8.02*2+8.95+18.25</f>
        <v>63.239999999999995</v>
      </c>
      <c r="F346" s="807"/>
      <c r="G346" s="219">
        <f>E346*F346</f>
        <v>0</v>
      </c>
      <c r="H346" s="1411"/>
      <c r="I346" s="1411"/>
      <c r="J346" s="1378"/>
      <c r="K346" s="1379"/>
    </row>
    <row r="347" spans="1:11">
      <c r="A347" s="75"/>
      <c r="B347" s="998"/>
      <c r="C347" s="873"/>
      <c r="D347" s="67"/>
      <c r="E347" s="89"/>
      <c r="F347" s="219"/>
      <c r="G347" s="219"/>
      <c r="H347" s="1406"/>
      <c r="I347" s="1406"/>
      <c r="J347" s="1378"/>
      <c r="K347" s="1379"/>
    </row>
    <row r="348" spans="1:11" ht="47.25">
      <c r="A348" s="73" t="s">
        <v>226</v>
      </c>
      <c r="B348" s="997" t="s">
        <v>227</v>
      </c>
      <c r="C348" s="888" t="s">
        <v>1243</v>
      </c>
      <c r="D348" s="220" t="s">
        <v>176</v>
      </c>
      <c r="E348" s="89">
        <f>24.72*2+18.8+3.45+8.02*2</f>
        <v>87.72999999999999</v>
      </c>
      <c r="F348" s="807">
        <f>I348/120</f>
        <v>0</v>
      </c>
      <c r="G348" s="219">
        <f>E348*F348</f>
        <v>0</v>
      </c>
      <c r="H348" s="1392"/>
      <c r="I348" s="1392"/>
      <c r="J348" s="1378"/>
      <c r="K348" s="1379"/>
    </row>
    <row r="349" spans="1:11">
      <c r="A349" s="75"/>
      <c r="B349" s="998"/>
      <c r="C349" s="873"/>
      <c r="D349" s="67"/>
      <c r="E349" s="89"/>
      <c r="F349"/>
      <c r="G349"/>
      <c r="H349" s="1394"/>
      <c r="I349" s="1395"/>
      <c r="J349" s="1378"/>
      <c r="K349" s="1379"/>
    </row>
    <row r="350" spans="1:11" ht="63">
      <c r="A350" s="73" t="s">
        <v>228</v>
      </c>
      <c r="B350" s="997" t="s">
        <v>229</v>
      </c>
      <c r="C350" s="888" t="s">
        <v>1243</v>
      </c>
      <c r="D350" s="220" t="s">
        <v>87</v>
      </c>
      <c r="E350" s="89">
        <f>(1.06*8.02)+(1.54*0.98)*2+1.48*0.88</f>
        <v>12.822000000000001</v>
      </c>
      <c r="F350" s="807"/>
      <c r="G350" s="219">
        <f>+F350*E350</f>
        <v>0</v>
      </c>
      <c r="H350" s="1392"/>
      <c r="I350" s="1392"/>
      <c r="J350" s="1378"/>
      <c r="K350" s="1379"/>
    </row>
    <row r="351" spans="1:11">
      <c r="A351" s="224"/>
      <c r="B351" s="989"/>
      <c r="C351" s="865"/>
      <c r="D351" s="225"/>
      <c r="E351" s="212"/>
      <c r="F351" s="250"/>
      <c r="G351" s="250"/>
      <c r="H351" s="1406"/>
      <c r="I351" s="1406"/>
      <c r="J351" s="1378"/>
      <c r="K351" s="1379"/>
    </row>
    <row r="352" spans="1:11" ht="47.25">
      <c r="A352" s="73">
        <v>4</v>
      </c>
      <c r="B352" s="950" t="s">
        <v>230</v>
      </c>
      <c r="C352" s="888" t="s">
        <v>1243</v>
      </c>
      <c r="D352" s="220" t="s">
        <v>176</v>
      </c>
      <c r="E352" s="105">
        <f>+(0.92+6.44+7.99+15.65+1.03)*2</f>
        <v>64.06</v>
      </c>
      <c r="F352" s="807"/>
      <c r="G352" s="219">
        <f>E352*F352</f>
        <v>0</v>
      </c>
      <c r="H352" s="1392"/>
      <c r="I352" s="1392"/>
      <c r="J352" s="1378"/>
      <c r="K352" s="1379"/>
    </row>
    <row r="353" spans="1:11">
      <c r="A353" s="224"/>
      <c r="B353" s="989"/>
      <c r="C353" s="865"/>
      <c r="D353" s="225"/>
      <c r="E353" s="105"/>
      <c r="F353" s="250"/>
      <c r="G353" s="250"/>
      <c r="H353" s="1406"/>
      <c r="I353" s="1406"/>
      <c r="J353" s="1378"/>
      <c r="K353" s="1379"/>
    </row>
    <row r="354" spans="1:11" ht="63">
      <c r="A354" s="73">
        <v>5</v>
      </c>
      <c r="B354" s="950" t="s">
        <v>231</v>
      </c>
      <c r="C354" s="888" t="s">
        <v>1243</v>
      </c>
      <c r="D354" s="220" t="s">
        <v>176</v>
      </c>
      <c r="E354" s="105">
        <v>208.38</v>
      </c>
      <c r="F354" s="807"/>
      <c r="G354" s="219">
        <f>E354*F354</f>
        <v>0</v>
      </c>
      <c r="H354" s="1392"/>
      <c r="I354" s="1392"/>
      <c r="J354" s="1378"/>
      <c r="K354" s="1379"/>
    </row>
    <row r="355" spans="1:11">
      <c r="A355" s="224"/>
      <c r="B355" s="983"/>
      <c r="C355" s="865"/>
      <c r="D355" s="225"/>
      <c r="E355" s="105"/>
      <c r="F355" s="250"/>
      <c r="G355" s="250"/>
      <c r="H355" s="1406"/>
      <c r="I355" s="1406"/>
      <c r="J355" s="1378"/>
      <c r="K355" s="1379"/>
    </row>
    <row r="356" spans="1:11" ht="47.25">
      <c r="A356" s="73">
        <v>6</v>
      </c>
      <c r="B356" s="958" t="s">
        <v>232</v>
      </c>
      <c r="C356" s="888" t="s">
        <v>1243</v>
      </c>
      <c r="D356" s="220" t="s">
        <v>87</v>
      </c>
      <c r="E356" s="105">
        <v>8.02</v>
      </c>
      <c r="F356" s="807"/>
      <c r="G356" s="219">
        <f>E356*F356</f>
        <v>0</v>
      </c>
      <c r="H356" s="1392"/>
      <c r="I356" s="1392"/>
      <c r="J356" s="1378"/>
      <c r="K356" s="1379"/>
    </row>
    <row r="357" spans="1:11">
      <c r="A357" s="75"/>
      <c r="B357" s="999"/>
      <c r="C357" s="824"/>
      <c r="D357" s="67"/>
      <c r="E357" s="105"/>
      <c r="F357" s="219"/>
      <c r="G357" s="219"/>
      <c r="H357" s="1406"/>
      <c r="I357" s="1406"/>
      <c r="J357" s="1378"/>
      <c r="K357" s="1379"/>
    </row>
    <row r="358" spans="1:11" ht="47.25">
      <c r="A358" s="73">
        <v>7</v>
      </c>
      <c r="B358" s="950" t="s">
        <v>233</v>
      </c>
      <c r="C358" s="888" t="s">
        <v>1243</v>
      </c>
      <c r="D358" s="220" t="s">
        <v>87</v>
      </c>
      <c r="E358" s="105">
        <f>+(23.3+7.6)*2*0.2</f>
        <v>12.36</v>
      </c>
      <c r="F358" s="807"/>
      <c r="G358" s="82">
        <f>+F358*E358</f>
        <v>0</v>
      </c>
      <c r="H358" s="1393"/>
      <c r="I358" s="1393"/>
      <c r="J358" s="1378"/>
      <c r="K358" s="1379"/>
    </row>
    <row r="359" spans="1:11">
      <c r="A359" s="224"/>
      <c r="B359" s="1000"/>
      <c r="C359" s="874"/>
      <c r="D359" s="259"/>
      <c r="E359" s="259"/>
      <c r="F359" s="258"/>
      <c r="G359" s="258"/>
      <c r="H359" s="1409"/>
      <c r="I359" s="1410"/>
      <c r="J359" s="1378"/>
      <c r="K359" s="1379"/>
    </row>
    <row r="360" spans="1:11" ht="47.25">
      <c r="A360" s="73">
        <v>8</v>
      </c>
      <c r="B360" s="950" t="s">
        <v>234</v>
      </c>
      <c r="C360" s="888" t="s">
        <v>1243</v>
      </c>
      <c r="D360" s="220" t="s">
        <v>87</v>
      </c>
      <c r="E360" s="107">
        <f>+E358</f>
        <v>12.36</v>
      </c>
      <c r="F360" s="807"/>
      <c r="G360" s="82">
        <f>+F360*E360</f>
        <v>0</v>
      </c>
      <c r="H360" s="1393"/>
      <c r="I360" s="1393"/>
      <c r="J360" s="1378"/>
      <c r="K360" s="1379"/>
    </row>
    <row r="361" spans="1:11">
      <c r="A361" s="244"/>
      <c r="B361" s="1001"/>
      <c r="C361" s="824"/>
      <c r="D361" s="67"/>
      <c r="E361" s="107"/>
      <c r="F361" s="82"/>
      <c r="G361" s="82"/>
      <c r="H361" s="1391"/>
      <c r="I361" s="1391"/>
      <c r="J361" s="1378"/>
      <c r="K361" s="1379"/>
    </row>
    <row r="362" spans="1:11" ht="47.25">
      <c r="A362" s="73">
        <v>9</v>
      </c>
      <c r="B362" s="963" t="s">
        <v>235</v>
      </c>
      <c r="C362" s="888" t="s">
        <v>1243</v>
      </c>
      <c r="D362" s="220" t="s">
        <v>87</v>
      </c>
      <c r="E362" s="107">
        <v>474.72</v>
      </c>
      <c r="F362" s="807"/>
      <c r="G362" s="82">
        <f>+F362*E362</f>
        <v>0</v>
      </c>
      <c r="H362" s="1393"/>
      <c r="I362" s="1393"/>
      <c r="J362" s="1378"/>
      <c r="K362" s="1379"/>
    </row>
    <row r="363" spans="1:11">
      <c r="A363" s="244"/>
      <c r="B363" s="1001"/>
      <c r="C363" s="824"/>
      <c r="D363" s="67"/>
      <c r="E363" s="107"/>
      <c r="F363" s="82"/>
      <c r="G363" s="82"/>
      <c r="H363" s="1391"/>
      <c r="I363" s="1391"/>
      <c r="J363" s="1378"/>
      <c r="K363" s="1379"/>
    </row>
    <row r="364" spans="1:11" ht="63">
      <c r="A364" s="144">
        <v>10</v>
      </c>
      <c r="B364" s="950" t="s">
        <v>236</v>
      </c>
      <c r="C364" s="888" t="s">
        <v>1243</v>
      </c>
      <c r="D364" s="220" t="s">
        <v>87</v>
      </c>
      <c r="E364" s="67">
        <f>25.3*6.6+25.3*5.7+7.6*6.6*2</f>
        <v>411.51</v>
      </c>
      <c r="F364" s="807"/>
      <c r="G364" s="219">
        <f>+F364*E364</f>
        <v>0</v>
      </c>
      <c r="H364" s="1393"/>
      <c r="I364" s="1393"/>
      <c r="J364" s="1378"/>
      <c r="K364" s="1379"/>
    </row>
    <row r="365" spans="1:11">
      <c r="A365" s="95"/>
      <c r="B365" s="976" t="s">
        <v>237</v>
      </c>
      <c r="C365" s="846"/>
      <c r="D365" s="155"/>
      <c r="E365" s="156"/>
      <c r="F365" s="98"/>
      <c r="G365" s="99">
        <f>SUM(G338:G364)</f>
        <v>0</v>
      </c>
      <c r="H365" s="1396"/>
      <c r="I365" s="1396"/>
      <c r="J365" s="1378"/>
      <c r="K365" s="1379"/>
    </row>
    <row r="366" spans="1:11">
      <c r="A366" s="116"/>
      <c r="B366" s="977"/>
      <c r="C366" s="847"/>
      <c r="D366" s="186"/>
      <c r="E366" s="187"/>
      <c r="F366" s="120"/>
      <c r="G366" s="120"/>
      <c r="H366" s="1390"/>
      <c r="I366" s="1390"/>
      <c r="J366" s="1378"/>
      <c r="K366" s="1379"/>
    </row>
    <row r="367" spans="1:11">
      <c r="A367" s="69"/>
      <c r="B367" s="978" t="s">
        <v>1246</v>
      </c>
      <c r="C367" s="862"/>
      <c r="D367" s="70"/>
      <c r="E367" s="121"/>
      <c r="F367" s="109"/>
      <c r="G367" s="122"/>
      <c r="H367" s="1391"/>
      <c r="I367" s="1391"/>
      <c r="J367" s="1378"/>
      <c r="K367" s="1379"/>
    </row>
    <row r="368" spans="1:11">
      <c r="A368" s="237"/>
      <c r="B368" s="982"/>
      <c r="C368" s="864"/>
      <c r="D368" s="173"/>
      <c r="E368" s="154"/>
      <c r="F368" s="88"/>
      <c r="G368" s="153"/>
      <c r="H368" s="1391"/>
      <c r="I368" s="1391"/>
      <c r="J368" s="1378"/>
      <c r="K368" s="1379"/>
    </row>
    <row r="369" spans="1:11" ht="47.25">
      <c r="A369" s="73">
        <v>1</v>
      </c>
      <c r="B369" s="944" t="s">
        <v>238</v>
      </c>
      <c r="C369" s="888" t="s">
        <v>1243</v>
      </c>
      <c r="D369" s="80" t="s">
        <v>11</v>
      </c>
      <c r="E369" s="81">
        <v>6</v>
      </c>
      <c r="F369" s="807"/>
      <c r="G369" s="82">
        <f>+F369*E369</f>
        <v>0</v>
      </c>
      <c r="H369" s="1393"/>
      <c r="I369" s="1393"/>
      <c r="J369" s="1378"/>
      <c r="K369" s="1379"/>
    </row>
    <row r="370" spans="1:11">
      <c r="A370" s="75"/>
      <c r="B370" s="1002"/>
      <c r="C370" s="848"/>
      <c r="D370" s="83"/>
      <c r="E370" s="81"/>
      <c r="F370" s="82"/>
      <c r="G370" s="82"/>
      <c r="H370" s="1391"/>
      <c r="I370" s="1391"/>
      <c r="J370" s="1378"/>
      <c r="K370" s="1379"/>
    </row>
    <row r="371" spans="1:11" ht="47.25">
      <c r="A371" s="73">
        <v>2</v>
      </c>
      <c r="B371" s="944" t="s">
        <v>239</v>
      </c>
      <c r="C371" s="888" t="s">
        <v>1243</v>
      </c>
      <c r="D371" s="80" t="s">
        <v>87</v>
      </c>
      <c r="E371" s="81">
        <v>177.08</v>
      </c>
      <c r="F371" s="807"/>
      <c r="G371" s="82">
        <f>F371*E371</f>
        <v>0</v>
      </c>
      <c r="H371" s="1393"/>
      <c r="I371" s="1393"/>
      <c r="J371" s="1378"/>
      <c r="K371" s="1379"/>
    </row>
    <row r="372" spans="1:11">
      <c r="A372" s="75"/>
      <c r="B372" s="1002"/>
      <c r="C372" s="848"/>
      <c r="D372" s="83"/>
      <c r="E372" s="81"/>
      <c r="F372" s="82"/>
      <c r="G372" s="82"/>
      <c r="H372" s="1391"/>
      <c r="I372" s="1391"/>
      <c r="J372" s="1378"/>
      <c r="K372" s="1379"/>
    </row>
    <row r="373" spans="1:11" ht="47.25">
      <c r="A373" s="73">
        <v>3</v>
      </c>
      <c r="B373" s="944" t="s">
        <v>240</v>
      </c>
      <c r="C373" s="888" t="s">
        <v>1243</v>
      </c>
      <c r="D373" s="80" t="s">
        <v>11</v>
      </c>
      <c r="E373" s="81">
        <v>3</v>
      </c>
      <c r="F373" s="807"/>
      <c r="G373" s="82">
        <f>F373*E373</f>
        <v>0</v>
      </c>
      <c r="H373" s="1393"/>
      <c r="I373" s="1393"/>
      <c r="J373" s="1378"/>
      <c r="K373" s="1379"/>
    </row>
    <row r="374" spans="1:11">
      <c r="A374" s="75"/>
      <c r="B374" s="1002"/>
      <c r="C374" s="848"/>
      <c r="D374" s="83"/>
      <c r="E374" s="107"/>
      <c r="F374" s="82"/>
      <c r="G374" s="82"/>
      <c r="H374" s="1391"/>
      <c r="I374" s="1391"/>
      <c r="J374" s="1378"/>
      <c r="K374" s="1379"/>
    </row>
    <row r="375" spans="1:11" ht="31.5">
      <c r="A375" s="73">
        <v>4</v>
      </c>
      <c r="B375" s="963" t="s">
        <v>241</v>
      </c>
      <c r="C375" s="888" t="s">
        <v>1243</v>
      </c>
      <c r="D375" s="220" t="s">
        <v>176</v>
      </c>
      <c r="E375" s="107">
        <v>43.53</v>
      </c>
      <c r="F375" s="807"/>
      <c r="G375" s="82">
        <f>E375*F375</f>
        <v>0</v>
      </c>
      <c r="H375" s="1393"/>
      <c r="I375" s="1393"/>
      <c r="J375" s="1378"/>
      <c r="K375" s="1379"/>
    </row>
    <row r="376" spans="1:11">
      <c r="A376" s="180"/>
      <c r="B376" s="963"/>
      <c r="C376" s="845"/>
      <c r="D376" s="220"/>
      <c r="E376" s="801"/>
      <c r="F376" s="82"/>
      <c r="G376" s="82"/>
      <c r="H376" s="1391"/>
      <c r="I376" s="1391"/>
      <c r="J376" s="1378"/>
      <c r="K376" s="1379"/>
    </row>
    <row r="377" spans="1:11" ht="47.25">
      <c r="A377" s="180">
        <v>5</v>
      </c>
      <c r="B377" s="182" t="s">
        <v>242</v>
      </c>
      <c r="C377" s="888" t="s">
        <v>1243</v>
      </c>
      <c r="D377" s="260"/>
      <c r="E377" s="107"/>
      <c r="F377" s="88"/>
      <c r="G377" s="88"/>
      <c r="H377" s="1391"/>
      <c r="I377" s="1391"/>
      <c r="J377" s="1378"/>
      <c r="K377" s="1379"/>
    </row>
    <row r="378" spans="1:11">
      <c r="A378" s="180"/>
      <c r="B378" s="182" t="s">
        <v>243</v>
      </c>
      <c r="C378" s="867"/>
      <c r="D378" s="220" t="s">
        <v>11</v>
      </c>
      <c r="E378" s="107">
        <v>2</v>
      </c>
      <c r="F378" s="807"/>
      <c r="G378" s="219">
        <f>E378*F378</f>
        <v>0</v>
      </c>
      <c r="H378" s="1392"/>
      <c r="I378" s="1392"/>
      <c r="J378" s="1378"/>
      <c r="K378" s="1379"/>
    </row>
    <row r="379" spans="1:11">
      <c r="A379" s="180"/>
      <c r="B379" s="182"/>
      <c r="C379" s="867"/>
      <c r="D379" s="220"/>
      <c r="E379" s="107"/>
      <c r="F379" s="219"/>
      <c r="G379" s="219"/>
      <c r="H379" s="1406"/>
      <c r="I379" s="1406"/>
      <c r="J379" s="1378"/>
      <c r="K379" s="1379"/>
    </row>
    <row r="380" spans="1:11" ht="31.5">
      <c r="A380" s="73">
        <v>6</v>
      </c>
      <c r="B380" s="958" t="s">
        <v>244</v>
      </c>
      <c r="C380" s="888" t="s">
        <v>1243</v>
      </c>
      <c r="D380" s="77" t="s">
        <v>11</v>
      </c>
      <c r="E380" s="261">
        <v>1</v>
      </c>
      <c r="F380" s="807"/>
      <c r="G380" s="88">
        <f>F380*E380</f>
        <v>0</v>
      </c>
      <c r="H380" s="1393"/>
      <c r="I380" s="1393"/>
      <c r="J380" s="1378"/>
      <c r="K380" s="1379"/>
    </row>
    <row r="381" spans="1:11">
      <c r="A381" s="95"/>
      <c r="B381" s="936" t="s">
        <v>245</v>
      </c>
      <c r="C381" s="846"/>
      <c r="D381" s="155"/>
      <c r="E381" s="156"/>
      <c r="F381" s="98"/>
      <c r="G381" s="99">
        <f>SUM(G369:G380)</f>
        <v>0</v>
      </c>
      <c r="H381" s="1396"/>
      <c r="I381" s="1396"/>
      <c r="J381" s="1378"/>
      <c r="K381" s="1379"/>
    </row>
    <row r="382" spans="1:11">
      <c r="A382" s="116"/>
      <c r="B382" s="956"/>
      <c r="C382" s="847"/>
      <c r="D382" s="186"/>
      <c r="E382" s="187"/>
      <c r="F382" s="120"/>
      <c r="G382" s="120"/>
      <c r="H382" s="1390"/>
      <c r="I382" s="1390"/>
      <c r="J382" s="1378"/>
      <c r="K382" s="1379"/>
    </row>
    <row r="383" spans="1:11">
      <c r="A383" s="116"/>
      <c r="B383" s="956"/>
      <c r="C383" s="847"/>
      <c r="D383" s="186"/>
      <c r="E383" s="187"/>
      <c r="F383" s="120"/>
      <c r="G383" s="120"/>
      <c r="H383" s="1390"/>
      <c r="I383" s="1390"/>
      <c r="J383" s="1378"/>
      <c r="K383" s="1379"/>
    </row>
    <row r="384" spans="1:11">
      <c r="A384" s="262"/>
      <c r="B384" s="263" t="s">
        <v>246</v>
      </c>
      <c r="C384" s="875"/>
      <c r="D384" s="264"/>
      <c r="E384" s="265"/>
      <c r="F384" s="266"/>
      <c r="G384" s="267"/>
      <c r="H384" s="1412"/>
      <c r="I384" s="1412"/>
      <c r="J384" s="1378"/>
      <c r="K384" s="1379"/>
    </row>
    <row r="385" spans="1:11">
      <c r="A385" s="270" t="s">
        <v>247</v>
      </c>
      <c r="B385" s="1003" t="s">
        <v>248</v>
      </c>
      <c r="C385" s="822"/>
      <c r="D385" s="62"/>
      <c r="E385" s="191"/>
      <c r="F385" s="191"/>
      <c r="G385" s="88">
        <f>+G94</f>
        <v>0</v>
      </c>
      <c r="H385" s="1413"/>
      <c r="I385" s="1413"/>
      <c r="J385" s="1378"/>
      <c r="K385" s="1379"/>
    </row>
    <row r="386" spans="1:11">
      <c r="A386" s="270" t="s">
        <v>249</v>
      </c>
      <c r="B386" s="1004" t="s">
        <v>250</v>
      </c>
      <c r="C386" s="876"/>
      <c r="D386" s="62"/>
      <c r="E386" s="257"/>
      <c r="F386" s="64"/>
      <c r="G386" s="64">
        <f>+G120</f>
        <v>0</v>
      </c>
      <c r="H386" s="1390"/>
      <c r="I386" s="1390"/>
      <c r="J386" s="1378"/>
      <c r="K386" s="1379"/>
    </row>
    <row r="387" spans="1:11">
      <c r="A387" s="270" t="s">
        <v>251</v>
      </c>
      <c r="B387" s="1004" t="s">
        <v>252</v>
      </c>
      <c r="C387" s="876"/>
      <c r="D387" s="62"/>
      <c r="E387" s="257"/>
      <c r="F387" s="64"/>
      <c r="G387" s="64">
        <f>+G125</f>
        <v>0</v>
      </c>
      <c r="H387" s="1390"/>
      <c r="I387" s="1390"/>
      <c r="J387" s="1378"/>
      <c r="K387" s="1379"/>
    </row>
    <row r="388" spans="1:11">
      <c r="A388" s="270" t="s">
        <v>253</v>
      </c>
      <c r="B388" s="1003" t="s">
        <v>254</v>
      </c>
      <c r="C388" s="822"/>
      <c r="D388" s="62"/>
      <c r="E388" s="257"/>
      <c r="F388" s="64"/>
      <c r="G388" s="64">
        <f>+G146</f>
        <v>0</v>
      </c>
      <c r="H388" s="1390"/>
      <c r="I388" s="1390"/>
      <c r="J388" s="1378"/>
      <c r="K388" s="1379"/>
    </row>
    <row r="389" spans="1:11">
      <c r="A389" s="270" t="s">
        <v>255</v>
      </c>
      <c r="B389" s="1004" t="s">
        <v>256</v>
      </c>
      <c r="C389" s="876"/>
      <c r="D389" s="62"/>
      <c r="E389" s="257"/>
      <c r="F389" s="64"/>
      <c r="G389" s="64">
        <f>+G153</f>
        <v>0</v>
      </c>
      <c r="H389" s="1390"/>
      <c r="I389" s="1390"/>
      <c r="J389" s="1378"/>
      <c r="K389" s="1379"/>
    </row>
    <row r="390" spans="1:11">
      <c r="A390" s="270" t="s">
        <v>257</v>
      </c>
      <c r="B390" s="1003" t="s">
        <v>258</v>
      </c>
      <c r="C390" s="822"/>
      <c r="D390" s="62"/>
      <c r="E390" s="257"/>
      <c r="F390" s="64"/>
      <c r="G390" s="64">
        <f>+G168</f>
        <v>0</v>
      </c>
      <c r="H390" s="1390"/>
      <c r="I390" s="1390"/>
      <c r="J390" s="1378"/>
      <c r="K390" s="1379"/>
    </row>
    <row r="391" spans="1:11">
      <c r="A391" s="270" t="s">
        <v>259</v>
      </c>
      <c r="B391" s="1003" t="s">
        <v>260</v>
      </c>
      <c r="C391" s="822"/>
      <c r="D391" s="269"/>
      <c r="E391" s="257"/>
      <c r="F391" s="64"/>
      <c r="G391" s="64">
        <f>+G214</f>
        <v>0</v>
      </c>
      <c r="H391" s="1390"/>
      <c r="I391" s="1390"/>
      <c r="J391" s="1378"/>
      <c r="K391" s="1379"/>
    </row>
    <row r="392" spans="1:11">
      <c r="A392" s="270" t="s">
        <v>261</v>
      </c>
      <c r="B392" s="1003" t="s">
        <v>262</v>
      </c>
      <c r="C392" s="822"/>
      <c r="D392" s="62"/>
      <c r="E392" s="257"/>
      <c r="F392" s="64"/>
      <c r="G392" s="64">
        <f>+G245</f>
        <v>0</v>
      </c>
      <c r="H392" s="1390"/>
      <c r="I392" s="1390"/>
      <c r="J392" s="1378"/>
      <c r="K392" s="1379"/>
    </row>
    <row r="393" spans="1:11">
      <c r="A393" s="270" t="s">
        <v>263</v>
      </c>
      <c r="B393" s="1003" t="s">
        <v>264</v>
      </c>
      <c r="C393" s="822"/>
      <c r="D393" s="62"/>
      <c r="E393" s="257"/>
      <c r="F393" s="64"/>
      <c r="G393" s="64">
        <f>+G252</f>
        <v>0</v>
      </c>
      <c r="H393" s="1390"/>
      <c r="I393" s="1390"/>
      <c r="J393" s="1378"/>
      <c r="K393" s="1379"/>
    </row>
    <row r="394" spans="1:11">
      <c r="A394" s="270" t="s">
        <v>265</v>
      </c>
      <c r="B394" s="1003" t="s">
        <v>266</v>
      </c>
      <c r="C394" s="822"/>
      <c r="D394" s="62"/>
      <c r="E394" s="257"/>
      <c r="F394" s="64"/>
      <c r="G394" s="64">
        <f>+G273</f>
        <v>0</v>
      </c>
      <c r="H394" s="1390"/>
      <c r="I394" s="1390"/>
      <c r="J394" s="1378"/>
      <c r="K394" s="1379"/>
    </row>
    <row r="395" spans="1:11">
      <c r="A395" s="270" t="s">
        <v>267</v>
      </c>
      <c r="B395" s="1004" t="s">
        <v>268</v>
      </c>
      <c r="C395" s="876"/>
      <c r="D395" s="62"/>
      <c r="E395" s="257"/>
      <c r="F395" s="64"/>
      <c r="G395" s="64">
        <f>+G327</f>
        <v>0</v>
      </c>
      <c r="H395" s="1390"/>
      <c r="I395" s="1390"/>
      <c r="J395" s="1378"/>
      <c r="K395" s="1379"/>
    </row>
    <row r="396" spans="1:11">
      <c r="A396" s="270" t="s">
        <v>269</v>
      </c>
      <c r="B396" s="1004" t="s">
        <v>270</v>
      </c>
      <c r="C396" s="876"/>
      <c r="D396" s="62"/>
      <c r="E396" s="257"/>
      <c r="F396" s="64"/>
      <c r="G396" s="64">
        <f>+G334</f>
        <v>0</v>
      </c>
      <c r="H396" s="1390"/>
      <c r="I396" s="1390"/>
      <c r="J396" s="1378"/>
      <c r="K396" s="1379"/>
    </row>
    <row r="397" spans="1:11">
      <c r="A397" s="270" t="s">
        <v>271</v>
      </c>
      <c r="B397" s="1004" t="s">
        <v>272</v>
      </c>
      <c r="C397" s="876"/>
      <c r="D397" s="269"/>
      <c r="E397" s="257"/>
      <c r="F397" s="64"/>
      <c r="G397" s="64">
        <f>+G365</f>
        <v>0</v>
      </c>
      <c r="H397" s="1390"/>
      <c r="I397" s="1390"/>
      <c r="J397" s="1378"/>
      <c r="K397" s="1379"/>
    </row>
    <row r="398" spans="1:11">
      <c r="A398" s="270" t="s">
        <v>1245</v>
      </c>
      <c r="B398" s="1003" t="s">
        <v>273</v>
      </c>
      <c r="C398" s="822"/>
      <c r="D398" s="62"/>
      <c r="E398" s="257"/>
      <c r="F398" s="64"/>
      <c r="G398" s="64">
        <f>G381</f>
        <v>0</v>
      </c>
      <c r="H398" s="1390"/>
      <c r="I398" s="1390"/>
      <c r="J398" s="1378"/>
      <c r="K398" s="1379"/>
    </row>
    <row r="399" spans="1:11">
      <c r="A399" s="95"/>
      <c r="B399" s="936" t="s">
        <v>932</v>
      </c>
      <c r="C399" s="846"/>
      <c r="D399" s="155"/>
      <c r="E399" s="97"/>
      <c r="F399" s="271"/>
      <c r="G399" s="272">
        <f>SUM(G385:G398)</f>
        <v>0</v>
      </c>
      <c r="H399" s="1414"/>
      <c r="I399" s="1414"/>
      <c r="J399" s="1378"/>
      <c r="K399" s="1379"/>
    </row>
    <row r="400" spans="1:11">
      <c r="C400" s="877"/>
      <c r="J400" s="1378"/>
      <c r="K400" s="1379"/>
    </row>
    <row r="401" spans="1:11">
      <c r="C401" s="877"/>
      <c r="J401" s="1378"/>
      <c r="K401" s="1379"/>
    </row>
    <row r="402" spans="1:11">
      <c r="A402" s="789"/>
      <c r="B402" s="929" t="s">
        <v>274</v>
      </c>
      <c r="C402" s="878"/>
      <c r="D402" s="790"/>
      <c r="E402" s="791"/>
      <c r="F402" s="792"/>
      <c r="G402" s="793"/>
      <c r="H402" s="1415"/>
      <c r="I402" s="1415"/>
      <c r="J402" s="1378"/>
      <c r="K402" s="1379"/>
    </row>
    <row r="403" spans="1:11">
      <c r="A403" s="285"/>
      <c r="B403" s="1005" t="s">
        <v>275</v>
      </c>
      <c r="C403" s="879"/>
      <c r="D403" s="385"/>
      <c r="E403" s="359"/>
      <c r="F403" s="348"/>
      <c r="G403" s="765"/>
      <c r="H403" s="1407"/>
      <c r="I403" s="1407"/>
      <c r="J403" s="1378"/>
      <c r="K403" s="1379"/>
    </row>
    <row r="404" spans="1:11">
      <c r="A404" s="273"/>
      <c r="B404" s="1006"/>
      <c r="C404" s="880"/>
      <c r="D404" s="274"/>
      <c r="E404" s="275"/>
      <c r="F404" s="276"/>
      <c r="G404" s="277"/>
      <c r="H404" s="1416"/>
      <c r="I404" s="1416"/>
      <c r="J404" s="1378"/>
      <c r="K404" s="1379"/>
    </row>
    <row r="405" spans="1:11" ht="30">
      <c r="A405" s="766" t="s">
        <v>891</v>
      </c>
      <c r="B405" s="920" t="s">
        <v>892</v>
      </c>
      <c r="C405" s="768" t="s">
        <v>894</v>
      </c>
      <c r="D405" s="768" t="s">
        <v>1</v>
      </c>
      <c r="E405" s="769" t="s">
        <v>893</v>
      </c>
      <c r="F405" s="769" t="s">
        <v>1234</v>
      </c>
      <c r="G405" s="769" t="s">
        <v>1233</v>
      </c>
      <c r="H405" s="1375"/>
      <c r="I405" s="1376"/>
      <c r="J405" s="1378"/>
      <c r="K405" s="1379"/>
    </row>
    <row r="406" spans="1:11">
      <c r="A406" s="273"/>
      <c r="B406" s="581"/>
      <c r="C406" s="881"/>
      <c r="D406" s="268"/>
      <c r="E406" s="275"/>
      <c r="F406" s="276"/>
      <c r="G406" s="277"/>
      <c r="H406" s="1416"/>
      <c r="I406" s="1416"/>
      <c r="J406" s="1378"/>
      <c r="K406" s="1379"/>
    </row>
    <row r="407" spans="1:11">
      <c r="A407" s="280"/>
      <c r="B407" s="948" t="s">
        <v>276</v>
      </c>
      <c r="C407" s="1189" t="s">
        <v>1272</v>
      </c>
      <c r="D407" s="281"/>
      <c r="E407" s="282"/>
      <c r="F407" s="283"/>
      <c r="G407" s="284"/>
      <c r="H407" s="1417"/>
      <c r="I407" s="1417"/>
      <c r="J407" s="1378"/>
      <c r="K407" s="1379"/>
    </row>
    <row r="408" spans="1:11">
      <c r="A408" s="285"/>
      <c r="B408" s="1007"/>
      <c r="C408" s="882"/>
      <c r="D408" s="287"/>
      <c r="E408" s="288"/>
      <c r="F408" s="289"/>
      <c r="G408" s="289"/>
      <c r="H408" s="1418"/>
      <c r="I408" s="1419"/>
      <c r="J408" s="1378"/>
      <c r="K408" s="1379"/>
    </row>
    <row r="409" spans="1:11" ht="31.5">
      <c r="A409" s="90" t="s">
        <v>60</v>
      </c>
      <c r="B409" s="933" t="s">
        <v>277</v>
      </c>
      <c r="C409" s="889" t="s">
        <v>1247</v>
      </c>
      <c r="D409" s="291" t="s">
        <v>16</v>
      </c>
      <c r="E409" s="81">
        <f>31.4*39.4</f>
        <v>1237.1599999999999</v>
      </c>
      <c r="F409" s="807"/>
      <c r="G409" s="243">
        <f>F409*E409</f>
        <v>0</v>
      </c>
      <c r="H409" s="1420"/>
      <c r="I409" s="1420"/>
      <c r="J409" s="1378"/>
      <c r="K409" s="1379"/>
    </row>
    <row r="410" spans="1:11">
      <c r="A410" s="290"/>
      <c r="B410" s="935"/>
      <c r="C410" s="734"/>
      <c r="D410" s="86"/>
      <c r="E410" s="81"/>
      <c r="F410" s="86"/>
      <c r="G410" s="86"/>
      <c r="H410" s="1421"/>
      <c r="I410" s="1421"/>
      <c r="J410" s="1378"/>
      <c r="K410" s="1379"/>
    </row>
    <row r="411" spans="1:11" ht="47.25">
      <c r="A411" s="90" t="s">
        <v>63</v>
      </c>
      <c r="B411" s="935" t="s">
        <v>278</v>
      </c>
      <c r="C411" s="889" t="s">
        <v>1247</v>
      </c>
      <c r="D411" s="87" t="s">
        <v>51</v>
      </c>
      <c r="E411" s="81">
        <f>7*((2.2*2.2)+(4.4*4.4))/2*1.1</f>
        <v>93.17000000000003</v>
      </c>
      <c r="F411" s="807"/>
      <c r="G411" s="88">
        <f>F411*E411</f>
        <v>0</v>
      </c>
      <c r="H411" s="1393"/>
      <c r="I411" s="1393"/>
      <c r="J411" s="1378"/>
      <c r="K411" s="1379"/>
    </row>
    <row r="412" spans="1:11">
      <c r="A412" s="290"/>
      <c r="B412" s="935"/>
      <c r="C412" s="734"/>
      <c r="D412" s="106"/>
      <c r="E412" s="81"/>
      <c r="F412" s="88"/>
      <c r="G412" s="88"/>
      <c r="H412" s="1391"/>
      <c r="I412" s="1391"/>
      <c r="J412" s="1378"/>
      <c r="K412" s="1379"/>
    </row>
    <row r="413" spans="1:11" ht="47.25">
      <c r="A413" s="90" t="s">
        <v>52</v>
      </c>
      <c r="B413" s="933" t="s">
        <v>279</v>
      </c>
      <c r="C413" s="889" t="s">
        <v>1247</v>
      </c>
      <c r="D413" s="87" t="s">
        <v>51</v>
      </c>
      <c r="E413" s="81">
        <f>7*((2.2*2.2)+(2.9*2.9))/2*0.3</f>
        <v>13.9125</v>
      </c>
      <c r="F413" s="807"/>
      <c r="G413" s="88">
        <f>F413*E413</f>
        <v>0</v>
      </c>
      <c r="H413" s="1393"/>
      <c r="I413" s="1393"/>
      <c r="J413" s="1378"/>
      <c r="K413" s="1379"/>
    </row>
    <row r="414" spans="1:11">
      <c r="A414" s="92"/>
      <c r="B414" s="934"/>
      <c r="C414" s="456"/>
      <c r="D414" s="86"/>
      <c r="E414" s="81"/>
      <c r="F414" s="86"/>
      <c r="G414" s="86"/>
      <c r="H414" s="1421"/>
      <c r="I414" s="1421"/>
      <c r="J414" s="1378"/>
      <c r="K414" s="1379"/>
    </row>
    <row r="415" spans="1:11" ht="47.25">
      <c r="A415" s="90" t="s">
        <v>56</v>
      </c>
      <c r="B415" s="933" t="s">
        <v>280</v>
      </c>
      <c r="C415" s="889" t="s">
        <v>1247</v>
      </c>
      <c r="D415" s="87" t="s">
        <v>51</v>
      </c>
      <c r="E415" s="81">
        <f>93.17-(33.88*0.05+13.91+7*(2*2*0.4+1.3*0.6*0.35))</f>
        <v>64.454999999999998</v>
      </c>
      <c r="F415" s="807"/>
      <c r="G415" s="88">
        <f>F415*E415</f>
        <v>0</v>
      </c>
      <c r="H415" s="1393"/>
      <c r="I415" s="1393"/>
      <c r="J415" s="1378"/>
      <c r="K415" s="1379"/>
    </row>
    <row r="416" spans="1:11">
      <c r="A416" s="296"/>
      <c r="B416" s="976" t="s">
        <v>58</v>
      </c>
      <c r="C416" s="846"/>
      <c r="D416" s="298"/>
      <c r="E416" s="299"/>
      <c r="F416" s="300"/>
      <c r="G416" s="301">
        <f>SUM(G409:G415)</f>
        <v>0</v>
      </c>
      <c r="H416" s="1422"/>
      <c r="I416" s="1422"/>
      <c r="J416" s="1378"/>
      <c r="K416" s="1379"/>
    </row>
    <row r="417" spans="1:11">
      <c r="A417" s="302"/>
      <c r="B417" s="1008"/>
      <c r="C417" s="883"/>
      <c r="D417" s="304"/>
      <c r="E417" s="305"/>
      <c r="F417" s="306"/>
      <c r="G417" s="306"/>
      <c r="H417" s="1423"/>
      <c r="I417" s="1423"/>
      <c r="J417" s="1378"/>
      <c r="K417" s="1379"/>
    </row>
    <row r="418" spans="1:11" ht="47.25">
      <c r="A418" s="307"/>
      <c r="B418" s="948" t="s">
        <v>59</v>
      </c>
      <c r="C418" s="1188" t="s">
        <v>1244</v>
      </c>
      <c r="D418" s="308"/>
      <c r="E418" s="309"/>
      <c r="F418" s="310"/>
      <c r="G418" s="311"/>
      <c r="H418" s="1407"/>
      <c r="I418" s="1407"/>
      <c r="J418" s="1378"/>
      <c r="K418" s="1379"/>
    </row>
    <row r="419" spans="1:11">
      <c r="A419" s="312"/>
      <c r="B419" s="1009"/>
      <c r="C419" s="287"/>
      <c r="D419" s="313"/>
      <c r="E419" s="314"/>
      <c r="F419" s="315"/>
      <c r="G419" s="315"/>
      <c r="H419" s="1407"/>
      <c r="I419" s="1407"/>
      <c r="J419" s="1378"/>
      <c r="K419" s="1379"/>
    </row>
    <row r="420" spans="1:11" ht="47.25">
      <c r="A420" s="90" t="s">
        <v>47</v>
      </c>
      <c r="B420" s="933" t="s">
        <v>281</v>
      </c>
      <c r="C420" s="889" t="s">
        <v>1247</v>
      </c>
      <c r="D420" s="77" t="s">
        <v>282</v>
      </c>
      <c r="E420" s="81">
        <f>7*2.2*2.2</f>
        <v>33.88000000000001</v>
      </c>
      <c r="F420" s="807"/>
      <c r="G420" s="294">
        <f>F420*E420</f>
        <v>0</v>
      </c>
      <c r="H420" s="1424"/>
      <c r="I420" s="1424"/>
      <c r="J420" s="1378"/>
      <c r="K420" s="1379"/>
    </row>
    <row r="421" spans="1:11">
      <c r="A421" s="316"/>
      <c r="B421" s="1007"/>
      <c r="C421" s="882"/>
      <c r="D421" s="317"/>
      <c r="E421" s="81"/>
      <c r="F421" s="294"/>
      <c r="G421" s="294"/>
      <c r="H421" s="1407"/>
      <c r="I421" s="1407"/>
      <c r="J421" s="1378"/>
      <c r="K421" s="1379"/>
    </row>
    <row r="422" spans="1:11" ht="31.5">
      <c r="A422" s="90" t="s">
        <v>49</v>
      </c>
      <c r="B422" s="958" t="s">
        <v>283</v>
      </c>
      <c r="C422" s="889" t="s">
        <v>1247</v>
      </c>
      <c r="D422" s="77" t="s">
        <v>19</v>
      </c>
      <c r="E422" s="81">
        <f>7*((2*2*0.4)+(1.3*0.6*1.1))</f>
        <v>17.206000000000003</v>
      </c>
      <c r="F422" s="807"/>
      <c r="G422" s="243">
        <f>F422*E422</f>
        <v>0</v>
      </c>
      <c r="H422" s="1424"/>
      <c r="I422" s="1424"/>
      <c r="J422" s="1378"/>
      <c r="K422" s="1379"/>
    </row>
    <row r="423" spans="1:11">
      <c r="A423" s="318"/>
      <c r="B423" s="936" t="s">
        <v>80</v>
      </c>
      <c r="C423" s="846"/>
      <c r="D423" s="319"/>
      <c r="E423" s="320"/>
      <c r="F423" s="321"/>
      <c r="G423" s="301">
        <f>SUM(G420:G422)</f>
        <v>0</v>
      </c>
      <c r="H423" s="1422"/>
      <c r="I423" s="1422"/>
      <c r="J423" s="1378"/>
      <c r="K423" s="1379"/>
    </row>
    <row r="424" spans="1:11">
      <c r="A424" s="302"/>
      <c r="B424" s="1008"/>
      <c r="C424" s="883"/>
      <c r="D424" s="304"/>
      <c r="E424" s="305"/>
      <c r="F424" s="306"/>
      <c r="G424" s="306"/>
      <c r="H424" s="1423"/>
      <c r="I424" s="1423"/>
      <c r="J424" s="1378"/>
      <c r="K424" s="1379"/>
    </row>
    <row r="425" spans="1:11">
      <c r="A425" s="322"/>
      <c r="B425" s="938" t="s">
        <v>81</v>
      </c>
      <c r="C425" s="1188" t="s">
        <v>1244</v>
      </c>
      <c r="D425" s="323"/>
      <c r="E425" s="324"/>
      <c r="F425" s="325"/>
      <c r="G425" s="326"/>
      <c r="H425" s="1407"/>
      <c r="I425" s="1407"/>
      <c r="J425" s="1378"/>
      <c r="K425" s="1379"/>
    </row>
    <row r="426" spans="1:11">
      <c r="A426" s="327"/>
      <c r="B426" s="1010"/>
      <c r="C426" s="884"/>
      <c r="D426" s="328"/>
      <c r="E426" s="329"/>
      <c r="F426" s="330"/>
      <c r="G426" s="331"/>
      <c r="H426" s="1407"/>
      <c r="I426" s="1407"/>
      <c r="J426" s="1378"/>
      <c r="K426" s="1379"/>
    </row>
    <row r="427" spans="1:11" ht="63">
      <c r="A427" s="90" t="s">
        <v>60</v>
      </c>
      <c r="B427" s="933" t="s">
        <v>284</v>
      </c>
      <c r="C427" s="889" t="s">
        <v>1247</v>
      </c>
      <c r="D427" s="77" t="s">
        <v>83</v>
      </c>
      <c r="E427" s="81">
        <f>17.21*130</f>
        <v>2237.3000000000002</v>
      </c>
      <c r="F427" s="807"/>
      <c r="G427" s="294">
        <f>F427*E427</f>
        <v>0</v>
      </c>
      <c r="H427" s="1424"/>
      <c r="I427" s="1424"/>
      <c r="J427" s="1378"/>
      <c r="K427" s="1379"/>
    </row>
    <row r="428" spans="1:11">
      <c r="A428" s="332"/>
      <c r="B428" s="936" t="s">
        <v>84</v>
      </c>
      <c r="C428" s="846"/>
      <c r="D428" s="333"/>
      <c r="E428" s="334"/>
      <c r="F428" s="335"/>
      <c r="G428" s="301">
        <f>SUM(G427:G427)</f>
        <v>0</v>
      </c>
      <c r="H428" s="1425"/>
      <c r="I428" s="1425"/>
      <c r="J428" s="1378"/>
      <c r="K428" s="1379"/>
    </row>
    <row r="429" spans="1:11">
      <c r="A429" s="302"/>
      <c r="B429" s="1008"/>
      <c r="C429" s="883"/>
      <c r="D429" s="304"/>
      <c r="E429" s="305"/>
      <c r="F429" s="306"/>
      <c r="G429" s="306"/>
      <c r="H429" s="1423"/>
      <c r="I429" s="1423"/>
      <c r="J429" s="1378"/>
      <c r="K429" s="1379"/>
    </row>
    <row r="430" spans="1:11">
      <c r="A430" s="302"/>
      <c r="B430" s="1008"/>
      <c r="C430" s="883"/>
      <c r="D430" s="304"/>
      <c r="E430" s="305"/>
      <c r="F430" s="306"/>
      <c r="G430" s="306"/>
      <c r="H430" s="1423"/>
      <c r="I430" s="1423"/>
      <c r="J430" s="1378"/>
      <c r="K430" s="1379"/>
    </row>
    <row r="431" spans="1:11">
      <c r="A431" s="96"/>
      <c r="B431" s="936" t="s">
        <v>285</v>
      </c>
      <c r="C431" s="846"/>
      <c r="D431" s="96"/>
      <c r="E431" s="96"/>
      <c r="F431" s="96"/>
      <c r="G431" s="96"/>
      <c r="H431" s="1426"/>
      <c r="I431" s="1426"/>
      <c r="J431" s="1378"/>
      <c r="K431" s="1379"/>
    </row>
    <row r="432" spans="1:11">
      <c r="A432" s="339" t="s">
        <v>247</v>
      </c>
      <c r="B432" s="1011" t="s">
        <v>248</v>
      </c>
      <c r="C432" s="885"/>
      <c r="D432" s="337"/>
      <c r="E432" s="338"/>
      <c r="F432" s="294"/>
      <c r="G432" s="294">
        <f>G416</f>
        <v>0</v>
      </c>
      <c r="H432" s="1407"/>
      <c r="I432" s="1407"/>
      <c r="J432" s="1378"/>
      <c r="K432" s="1379"/>
    </row>
    <row r="433" spans="1:11">
      <c r="A433" s="339" t="s">
        <v>249</v>
      </c>
      <c r="B433" s="1011" t="s">
        <v>286</v>
      </c>
      <c r="C433" s="885"/>
      <c r="D433" s="337"/>
      <c r="E433" s="338"/>
      <c r="F433" s="294"/>
      <c r="G433" s="294">
        <f>G423</f>
        <v>0</v>
      </c>
      <c r="H433" s="1407"/>
      <c r="I433" s="1407"/>
      <c r="J433" s="1378"/>
      <c r="K433" s="1379"/>
    </row>
    <row r="434" spans="1:11">
      <c r="A434" s="270" t="s">
        <v>251</v>
      </c>
      <c r="B434" s="1004" t="s">
        <v>252</v>
      </c>
      <c r="C434" s="876"/>
      <c r="D434" s="340"/>
      <c r="E434" s="341"/>
      <c r="F434" s="342"/>
      <c r="G434" s="294">
        <f>+G428</f>
        <v>0</v>
      </c>
      <c r="H434" s="1423"/>
      <c r="I434" s="1423"/>
      <c r="J434" s="1378"/>
      <c r="K434" s="1379"/>
    </row>
    <row r="435" spans="1:11">
      <c r="A435" s="296"/>
      <c r="B435" s="976" t="s">
        <v>287</v>
      </c>
      <c r="C435" s="846"/>
      <c r="D435" s="343"/>
      <c r="E435" s="344"/>
      <c r="F435" s="345"/>
      <c r="G435" s="301">
        <f>SUM(G432:G434)</f>
        <v>0</v>
      </c>
      <c r="H435" s="1425"/>
      <c r="I435" s="1425"/>
      <c r="J435" s="1378"/>
      <c r="K435" s="1379"/>
    </row>
    <row r="436" spans="1:11">
      <c r="A436" s="268"/>
      <c r="B436" s="581"/>
      <c r="C436" s="881"/>
      <c r="D436" s="304"/>
      <c r="E436" s="305"/>
      <c r="F436" s="306"/>
      <c r="G436" s="306"/>
      <c r="H436" s="1423"/>
      <c r="I436" s="1423"/>
      <c r="J436" s="1378"/>
      <c r="K436" s="1379"/>
    </row>
    <row r="437" spans="1:11">
      <c r="A437" s="336"/>
      <c r="B437" s="1012" t="s">
        <v>288</v>
      </c>
      <c r="C437" s="886"/>
      <c r="D437" s="340"/>
      <c r="E437" s="341"/>
      <c r="F437" s="342"/>
      <c r="G437" s="342"/>
      <c r="H437" s="1423"/>
      <c r="I437" s="1423"/>
      <c r="J437" s="1378"/>
      <c r="K437" s="1379"/>
    </row>
    <row r="438" spans="1:11">
      <c r="A438" s="336"/>
      <c r="B438" s="1006"/>
      <c r="C438" s="880"/>
      <c r="D438" s="340"/>
      <c r="E438" s="341"/>
      <c r="F438" s="342"/>
      <c r="G438" s="342"/>
      <c r="H438" s="1423"/>
      <c r="I438" s="1423"/>
      <c r="J438" s="1378"/>
      <c r="K438" s="1379"/>
    </row>
    <row r="439" spans="1:11">
      <c r="A439" s="280"/>
      <c r="B439" s="978" t="s">
        <v>289</v>
      </c>
      <c r="C439" s="1188" t="s">
        <v>1244</v>
      </c>
      <c r="D439" s="281"/>
      <c r="E439" s="282"/>
      <c r="F439" s="283"/>
      <c r="G439" s="284"/>
      <c r="H439" s="1417"/>
      <c r="I439" s="1417"/>
      <c r="J439" s="1378"/>
      <c r="K439" s="1379"/>
    </row>
    <row r="440" spans="1:11">
      <c r="A440" s="290"/>
      <c r="B440" s="935"/>
      <c r="C440" s="734"/>
      <c r="D440" s="317"/>
      <c r="E440" s="347"/>
      <c r="F440" s="348"/>
      <c r="G440" s="294"/>
      <c r="H440" s="1407"/>
      <c r="I440" s="1407"/>
      <c r="J440" s="1378"/>
      <c r="K440" s="1379"/>
    </row>
    <row r="441" spans="1:11" ht="63">
      <c r="A441" s="346">
        <v>1</v>
      </c>
      <c r="B441" s="958" t="s">
        <v>290</v>
      </c>
      <c r="C441" s="889" t="s">
        <v>1247</v>
      </c>
      <c r="D441" s="77" t="s">
        <v>83</v>
      </c>
      <c r="E441" s="293">
        <v>70000</v>
      </c>
      <c r="F441" s="807"/>
      <c r="G441" s="294">
        <f>F441*E441</f>
        <v>0</v>
      </c>
      <c r="H441" s="1424"/>
      <c r="I441" s="1424"/>
      <c r="J441" s="1378"/>
      <c r="K441" s="1379"/>
    </row>
    <row r="442" spans="1:11">
      <c r="A442" s="349"/>
      <c r="B442" s="1013"/>
      <c r="C442" s="887"/>
      <c r="D442" s="317"/>
      <c r="E442" s="293"/>
      <c r="F442" s="294"/>
      <c r="G442" s="294"/>
      <c r="H442" s="1407"/>
      <c r="I442" s="1407"/>
      <c r="J442" s="1378"/>
      <c r="K442" s="1379"/>
    </row>
    <row r="443" spans="1:11" ht="47.25">
      <c r="A443" s="178">
        <v>2</v>
      </c>
      <c r="B443" s="958" t="s">
        <v>291</v>
      </c>
      <c r="C443" s="889" t="s">
        <v>1247</v>
      </c>
      <c r="D443" s="77" t="s">
        <v>83</v>
      </c>
      <c r="E443" s="293">
        <f>+((31.3*39.5)-(24.7*8))*10</f>
        <v>10387.500000000002</v>
      </c>
      <c r="F443" s="807"/>
      <c r="G443" s="294">
        <f>F443*E443</f>
        <v>0</v>
      </c>
      <c r="H443" s="1424"/>
      <c r="I443" s="1424"/>
      <c r="J443" s="1378"/>
      <c r="K443" s="1379"/>
    </row>
    <row r="444" spans="1:11">
      <c r="A444" s="349"/>
      <c r="B444" s="1013"/>
      <c r="C444" s="887"/>
      <c r="D444" s="77"/>
      <c r="E444" s="293"/>
      <c r="F444" s="294"/>
      <c r="G444" s="294"/>
      <c r="H444" s="1407"/>
      <c r="I444" s="1407"/>
      <c r="J444" s="1378"/>
      <c r="K444" s="1379"/>
    </row>
    <row r="445" spans="1:11" ht="47.25">
      <c r="A445" s="178">
        <v>3</v>
      </c>
      <c r="B445" s="935" t="s">
        <v>292</v>
      </c>
      <c r="C445" s="889" t="s">
        <v>1247</v>
      </c>
      <c r="D445" s="77" t="s">
        <v>11</v>
      </c>
      <c r="E445" s="293">
        <v>11</v>
      </c>
      <c r="F445" s="807"/>
      <c r="G445" s="294">
        <f>F445*E445</f>
        <v>0</v>
      </c>
      <c r="H445" s="1424"/>
      <c r="I445" s="1424"/>
      <c r="J445" s="1378"/>
      <c r="K445" s="1379"/>
    </row>
    <row r="446" spans="1:11">
      <c r="A446" s="349"/>
      <c r="B446" s="935"/>
      <c r="C446" s="734"/>
      <c r="D446" s="77"/>
      <c r="E446" s="293"/>
      <c r="F446" s="294"/>
      <c r="G446" s="294"/>
      <c r="H446" s="1407"/>
      <c r="I446" s="1407"/>
      <c r="J446" s="1378"/>
      <c r="K446" s="1379"/>
    </row>
    <row r="447" spans="1:11" ht="63">
      <c r="A447" s="178" t="s">
        <v>222</v>
      </c>
      <c r="B447" s="933" t="s">
        <v>293</v>
      </c>
      <c r="C447" s="889" t="s">
        <v>1247</v>
      </c>
      <c r="D447" s="77" t="s">
        <v>11</v>
      </c>
      <c r="E447" s="293">
        <v>11</v>
      </c>
      <c r="F447" s="807"/>
      <c r="G447" s="294">
        <f>F447*E447</f>
        <v>0</v>
      </c>
      <c r="H447" s="1424"/>
      <c r="I447" s="1424"/>
      <c r="J447" s="1378"/>
      <c r="K447" s="1379"/>
    </row>
    <row r="448" spans="1:11">
      <c r="A448" s="349"/>
      <c r="B448" s="935"/>
      <c r="C448" s="734"/>
      <c r="D448" s="77"/>
      <c r="E448" s="293"/>
      <c r="F448" s="294"/>
      <c r="G448" s="294"/>
      <c r="H448" s="1407"/>
      <c r="I448" s="1407"/>
      <c r="J448" s="1378"/>
      <c r="K448" s="1379"/>
    </row>
    <row r="449" spans="1:11" ht="47.25">
      <c r="A449" s="178">
        <v>4</v>
      </c>
      <c r="B449" s="935" t="s">
        <v>294</v>
      </c>
      <c r="C449" s="889" t="s">
        <v>1247</v>
      </c>
      <c r="D449" s="77" t="s">
        <v>11</v>
      </c>
      <c r="E449" s="293">
        <v>10</v>
      </c>
      <c r="F449" s="807"/>
      <c r="G449" s="294">
        <f>F449*E449</f>
        <v>0</v>
      </c>
      <c r="H449" s="1424"/>
      <c r="I449" s="1424"/>
      <c r="J449" s="1378"/>
      <c r="K449" s="1379"/>
    </row>
    <row r="450" spans="1:11">
      <c r="A450" s="349"/>
      <c r="B450" s="935"/>
      <c r="C450" s="734"/>
      <c r="D450" s="77"/>
      <c r="E450" s="293"/>
      <c r="F450" s="294"/>
      <c r="G450" s="294"/>
      <c r="H450" s="1407"/>
      <c r="I450" s="1407"/>
      <c r="J450" s="1378"/>
      <c r="K450" s="1379"/>
    </row>
    <row r="451" spans="1:11" ht="63">
      <c r="A451" s="178" t="s">
        <v>295</v>
      </c>
      <c r="B451" s="933" t="s">
        <v>296</v>
      </c>
      <c r="C451" s="889" t="s">
        <v>1247</v>
      </c>
      <c r="D451" s="77" t="s">
        <v>11</v>
      </c>
      <c r="E451" s="293">
        <v>10</v>
      </c>
      <c r="F451" s="807"/>
      <c r="G451" s="294">
        <f>F451*E451</f>
        <v>0</v>
      </c>
      <c r="H451" s="1424"/>
      <c r="I451" s="1424"/>
      <c r="J451" s="1378"/>
      <c r="K451" s="1379"/>
    </row>
    <row r="452" spans="1:11">
      <c r="A452" s="296"/>
      <c r="B452" s="976" t="s">
        <v>102</v>
      </c>
      <c r="C452" s="230"/>
      <c r="D452" s="298"/>
      <c r="E452" s="299"/>
      <c r="F452" s="300"/>
      <c r="G452" s="301">
        <f>SUM(G441:G451)</f>
        <v>0</v>
      </c>
      <c r="H452" s="1422"/>
      <c r="I452" s="1422"/>
      <c r="J452" s="1378"/>
      <c r="K452" s="1379"/>
    </row>
    <row r="453" spans="1:11">
      <c r="A453" s="302"/>
      <c r="B453" s="1008"/>
      <c r="C453" s="303"/>
      <c r="D453" s="304"/>
      <c r="E453" s="305"/>
      <c r="F453" s="306"/>
      <c r="G453" s="306"/>
      <c r="H453" s="1423"/>
      <c r="I453" s="1423"/>
      <c r="J453" s="1378"/>
      <c r="K453" s="1379"/>
    </row>
    <row r="454" spans="1:11">
      <c r="A454" s="280"/>
      <c r="B454" s="1171" t="s">
        <v>297</v>
      </c>
      <c r="C454" s="1188" t="s">
        <v>1244</v>
      </c>
      <c r="D454" s="1171"/>
      <c r="E454" s="283"/>
      <c r="F454" s="352"/>
      <c r="G454" s="353"/>
      <c r="H454" s="1423"/>
      <c r="I454" s="1423"/>
      <c r="J454" s="1378"/>
      <c r="K454" s="1379"/>
    </row>
    <row r="455" spans="1:11">
      <c r="A455" s="350"/>
      <c r="B455" s="1014"/>
      <c r="C455" s="354"/>
      <c r="D455" s="355"/>
      <c r="E455" s="338"/>
      <c r="F455" s="294"/>
      <c r="G455" s="356"/>
      <c r="H455" s="1407"/>
      <c r="I455" s="1407"/>
      <c r="J455" s="1378"/>
      <c r="K455" s="1379"/>
    </row>
    <row r="456" spans="1:11" ht="48" customHeight="1">
      <c r="A456" s="357" t="s">
        <v>60</v>
      </c>
      <c r="B456" s="1013" t="s">
        <v>298</v>
      </c>
      <c r="C456" s="889" t="s">
        <v>1247</v>
      </c>
      <c r="D456" s="77" t="s">
        <v>299</v>
      </c>
      <c r="E456" s="358">
        <f>+(7.45+6.9+10.1+15.35)*31.4</f>
        <v>1249.72</v>
      </c>
      <c r="F456" s="807"/>
      <c r="G456" s="294">
        <f>F456*E456</f>
        <v>0</v>
      </c>
      <c r="H456" s="1427"/>
      <c r="I456" s="1428"/>
      <c r="J456" s="1378"/>
      <c r="K456" s="1379"/>
    </row>
    <row r="457" spans="1:11">
      <c r="A457" s="296"/>
      <c r="B457" s="1510" t="s">
        <v>300</v>
      </c>
      <c r="C457" s="1510"/>
      <c r="D457" s="1510"/>
      <c r="E457" s="1510"/>
      <c r="F457" s="300"/>
      <c r="G457" s="301">
        <f>SUM(G456:G456)</f>
        <v>0</v>
      </c>
      <c r="H457" s="1422"/>
      <c r="I457" s="1422"/>
      <c r="J457" s="1378"/>
      <c r="K457" s="1379"/>
    </row>
    <row r="458" spans="1:11">
      <c r="A458" s="302"/>
      <c r="B458" s="1008"/>
      <c r="C458" s="303"/>
      <c r="D458" s="304"/>
      <c r="E458" s="305"/>
      <c r="F458" s="306"/>
      <c r="G458" s="306"/>
      <c r="H458" s="1423"/>
      <c r="I458" s="1423"/>
      <c r="J458" s="1378"/>
      <c r="K458" s="1379"/>
    </row>
    <row r="459" spans="1:11">
      <c r="A459" s="360"/>
      <c r="B459" s="984" t="s">
        <v>301</v>
      </c>
      <c r="C459" s="1188" t="s">
        <v>1244</v>
      </c>
      <c r="D459" s="361"/>
      <c r="E459" s="362"/>
      <c r="F459" s="363"/>
      <c r="G459" s="364"/>
      <c r="H459" s="1407"/>
      <c r="I459" s="1407"/>
      <c r="J459" s="1378"/>
      <c r="K459" s="1379"/>
    </row>
    <row r="460" spans="1:11">
      <c r="A460" s="365"/>
      <c r="B460" s="1015"/>
      <c r="C460" s="889"/>
      <c r="D460" s="366"/>
      <c r="E460" s="367"/>
      <c r="F460" s="330"/>
      <c r="G460" s="330"/>
      <c r="H460" s="1407"/>
      <c r="I460" s="1407"/>
      <c r="J460" s="1378"/>
      <c r="K460" s="1379"/>
    </row>
    <row r="461" spans="1:11" ht="47.25">
      <c r="A461" s="73">
        <v>1</v>
      </c>
      <c r="B461" s="950" t="s">
        <v>302</v>
      </c>
      <c r="C461" s="889" t="s">
        <v>1247</v>
      </c>
      <c r="D461" s="220" t="s">
        <v>11</v>
      </c>
      <c r="E461" s="67">
        <v>1</v>
      </c>
      <c r="F461" s="807"/>
      <c r="G461" s="82">
        <f>+F461*E461</f>
        <v>0</v>
      </c>
      <c r="H461" s="1393"/>
      <c r="I461" s="1393"/>
      <c r="J461" s="1378"/>
      <c r="K461" s="1379"/>
    </row>
    <row r="462" spans="1:11">
      <c r="A462" s="368"/>
      <c r="B462" s="936" t="s">
        <v>303</v>
      </c>
      <c r="C462" s="96"/>
      <c r="D462" s="369"/>
      <c r="E462" s="370"/>
      <c r="F462" s="371"/>
      <c r="G462" s="301">
        <f>SUM(G461:G461)</f>
        <v>0</v>
      </c>
      <c r="H462" s="1425"/>
      <c r="I462" s="1425"/>
      <c r="J462" s="1378"/>
      <c r="K462" s="1379"/>
    </row>
    <row r="463" spans="1:11">
      <c r="A463" s="302"/>
      <c r="B463" s="1008"/>
      <c r="C463" s="303"/>
      <c r="D463" s="304"/>
      <c r="E463" s="305"/>
      <c r="F463" s="306"/>
      <c r="G463" s="306"/>
      <c r="H463" s="1423"/>
      <c r="I463" s="1423"/>
      <c r="J463" s="1378"/>
      <c r="K463" s="1379"/>
    </row>
    <row r="464" spans="1:11">
      <c r="A464" s="280"/>
      <c r="B464" s="981" t="s">
        <v>942</v>
      </c>
      <c r="C464" s="1188" t="s">
        <v>1244</v>
      </c>
      <c r="D464" s="372"/>
      <c r="E464" s="283"/>
      <c r="F464" s="352"/>
      <c r="G464" s="353"/>
      <c r="H464" s="1423"/>
      <c r="I464" s="1423"/>
      <c r="J464" s="1378"/>
      <c r="K464" s="1379"/>
    </row>
    <row r="465" spans="1:11">
      <c r="A465" s="229"/>
      <c r="B465" s="515"/>
      <c r="C465" s="229"/>
      <c r="D465" s="229"/>
      <c r="E465" s="252"/>
      <c r="F465" s="253"/>
      <c r="G465" s="253"/>
      <c r="H465" s="1409"/>
      <c r="I465" s="1410"/>
      <c r="J465" s="1378"/>
      <c r="K465" s="1379"/>
    </row>
    <row r="466" spans="1:11" ht="63">
      <c r="A466" s="357" t="s">
        <v>60</v>
      </c>
      <c r="B466" s="1013" t="s">
        <v>304</v>
      </c>
      <c r="C466" s="889" t="s">
        <v>1247</v>
      </c>
      <c r="D466" s="80" t="s">
        <v>176</v>
      </c>
      <c r="E466" s="293">
        <f>31.44*3</f>
        <v>94.320000000000007</v>
      </c>
      <c r="F466" s="807"/>
      <c r="G466" s="373">
        <f>+F466*E466</f>
        <v>0</v>
      </c>
      <c r="H466" s="1420"/>
      <c r="I466" s="1420"/>
      <c r="J466" s="1378"/>
      <c r="K466" s="1379"/>
    </row>
    <row r="467" spans="1:11">
      <c r="A467" s="312"/>
      <c r="B467" s="1016"/>
      <c r="C467" s="374"/>
      <c r="D467" s="67"/>
      <c r="E467" s="67"/>
      <c r="F467" s="82"/>
      <c r="G467" s="82"/>
      <c r="H467" s="1391"/>
      <c r="I467" s="1391"/>
      <c r="J467" s="1378"/>
      <c r="K467" s="1379"/>
    </row>
    <row r="468" spans="1:11" ht="63">
      <c r="A468" s="178">
        <v>2</v>
      </c>
      <c r="B468" s="963" t="s">
        <v>305</v>
      </c>
      <c r="C468" s="889" t="s">
        <v>1247</v>
      </c>
      <c r="D468" s="220" t="s">
        <v>176</v>
      </c>
      <c r="E468" s="67">
        <f>+(7.1+0.6)*(3+4+2)</f>
        <v>69.3</v>
      </c>
      <c r="F468" s="807"/>
      <c r="G468" s="82">
        <f>+F468*E468</f>
        <v>0</v>
      </c>
      <c r="H468" s="1393"/>
      <c r="I468" s="1393"/>
      <c r="J468" s="1378"/>
      <c r="K468" s="1379"/>
    </row>
    <row r="469" spans="1:11">
      <c r="A469" s="312"/>
      <c r="B469" s="1016"/>
      <c r="C469" s="374"/>
      <c r="D469" s="229"/>
      <c r="E469" s="252"/>
      <c r="F469" s="375"/>
      <c r="G469" s="375"/>
      <c r="H469" s="1410"/>
      <c r="I469" s="1410"/>
      <c r="J469" s="1378"/>
      <c r="K469" s="1379"/>
    </row>
    <row r="470" spans="1:11" ht="31.5">
      <c r="A470" s="144">
        <v>3</v>
      </c>
      <c r="B470" s="958" t="s">
        <v>306</v>
      </c>
      <c r="C470" s="889" t="s">
        <v>1247</v>
      </c>
      <c r="D470" s="80" t="s">
        <v>176</v>
      </c>
      <c r="E470" s="67">
        <v>143.68</v>
      </c>
      <c r="F470" s="807"/>
      <c r="G470" s="373">
        <f>+F470*E470</f>
        <v>0</v>
      </c>
      <c r="H470" s="1420"/>
      <c r="I470" s="1420"/>
      <c r="J470" s="1378"/>
      <c r="K470" s="1379"/>
    </row>
    <row r="471" spans="1:11">
      <c r="A471" s="376"/>
      <c r="B471" s="1017"/>
      <c r="C471" s="377"/>
      <c r="D471"/>
      <c r="E471"/>
      <c r="F471"/>
      <c r="G471"/>
      <c r="H471" s="1394"/>
      <c r="I471" s="1395"/>
      <c r="J471" s="1378"/>
      <c r="K471" s="1379"/>
    </row>
    <row r="472" spans="1:11" ht="47.25">
      <c r="A472" s="144">
        <v>4</v>
      </c>
      <c r="B472" s="944" t="s">
        <v>307</v>
      </c>
      <c r="C472" s="889" t="s">
        <v>1247</v>
      </c>
      <c r="D472" s="80" t="s">
        <v>176</v>
      </c>
      <c r="E472" s="105">
        <f>31.44*2</f>
        <v>62.88</v>
      </c>
      <c r="F472" s="807"/>
      <c r="G472" s="373">
        <f>+F472*E472</f>
        <v>0</v>
      </c>
      <c r="H472" s="1420"/>
      <c r="I472" s="1420"/>
      <c r="J472" s="1378"/>
      <c r="K472" s="1379"/>
    </row>
    <row r="473" spans="1:11">
      <c r="A473" s="376"/>
      <c r="B473" s="1018"/>
      <c r="C473" s="379"/>
      <c r="D473" s="380"/>
      <c r="E473" s="105"/>
      <c r="F473" s="382"/>
      <c r="G473" s="294"/>
      <c r="H473" s="1429"/>
      <c r="I473" s="1429"/>
      <c r="J473" s="1378"/>
      <c r="K473" s="1379"/>
    </row>
    <row r="474" spans="1:11" ht="47.25">
      <c r="A474" s="144">
        <v>5</v>
      </c>
      <c r="B474" s="958" t="s">
        <v>308</v>
      </c>
      <c r="C474" s="889" t="s">
        <v>1247</v>
      </c>
      <c r="D474" s="77" t="s">
        <v>299</v>
      </c>
      <c r="E474" s="105">
        <v>201.15</v>
      </c>
      <c r="F474" s="807"/>
      <c r="G474" s="294">
        <f>F474*E474</f>
        <v>0</v>
      </c>
      <c r="H474" s="1430"/>
      <c r="I474" s="1430"/>
      <c r="J474" s="1378"/>
      <c r="K474" s="1379"/>
    </row>
    <row r="475" spans="1:11">
      <c r="A475" s="383"/>
      <c r="B475" s="1019"/>
      <c r="C475" s="384"/>
      <c r="D475" s="385"/>
      <c r="E475" s="105"/>
      <c r="F475" s="348"/>
      <c r="G475" s="348"/>
      <c r="H475" s="1407"/>
      <c r="I475" s="1407"/>
      <c r="J475" s="1378"/>
      <c r="K475" s="1379"/>
    </row>
    <row r="476" spans="1:11" ht="47.25">
      <c r="A476" s="178">
        <v>6</v>
      </c>
      <c r="B476" s="958" t="s">
        <v>309</v>
      </c>
      <c r="C476" s="889" t="s">
        <v>1247</v>
      </c>
      <c r="D476" s="77" t="s">
        <v>299</v>
      </c>
      <c r="E476" s="105">
        <v>1164.43</v>
      </c>
      <c r="F476" s="807"/>
      <c r="G476" s="294">
        <f>F476*E476</f>
        <v>0</v>
      </c>
      <c r="H476" s="1430"/>
      <c r="I476" s="1430"/>
      <c r="J476" s="1378"/>
      <c r="K476" s="1379"/>
    </row>
    <row r="477" spans="1:11">
      <c r="A477" s="383"/>
      <c r="B477" s="1017"/>
      <c r="C477" s="377"/>
      <c r="D477" s="383"/>
      <c r="E477" s="378"/>
      <c r="F477" s="386"/>
      <c r="G477" s="315"/>
      <c r="H477" s="1429"/>
      <c r="I477" s="1429"/>
      <c r="J477" s="1378"/>
      <c r="K477" s="1379"/>
    </row>
    <row r="478" spans="1:11" ht="63">
      <c r="A478" s="144">
        <v>7</v>
      </c>
      <c r="B478" s="958" t="s">
        <v>310</v>
      </c>
      <c r="C478" s="889" t="s">
        <v>1247</v>
      </c>
      <c r="D478" s="80" t="s">
        <v>176</v>
      </c>
      <c r="E478" s="293">
        <f>1.2*4</f>
        <v>4.8</v>
      </c>
      <c r="F478" s="807"/>
      <c r="G478" s="373">
        <f>+F478*E478</f>
        <v>0</v>
      </c>
      <c r="H478" s="1420"/>
      <c r="I478" s="1420"/>
      <c r="J478" s="1378"/>
      <c r="K478" s="1379"/>
    </row>
    <row r="479" spans="1:11">
      <c r="A479" s="383"/>
      <c r="B479" s="1017"/>
      <c r="C479" s="377"/>
      <c r="D479"/>
      <c r="E479"/>
      <c r="F479"/>
      <c r="G479"/>
      <c r="H479" s="1394"/>
      <c r="I479" s="1395"/>
      <c r="J479" s="1378"/>
      <c r="K479" s="1379"/>
    </row>
    <row r="480" spans="1:11" ht="63">
      <c r="A480" s="144">
        <v>8</v>
      </c>
      <c r="B480" s="1013" t="s">
        <v>311</v>
      </c>
      <c r="C480" s="889" t="s">
        <v>1247</v>
      </c>
      <c r="D480" s="80" t="s">
        <v>11</v>
      </c>
      <c r="E480" s="293">
        <v>1</v>
      </c>
      <c r="F480" s="807"/>
      <c r="G480" s="373">
        <f>+F480*E480</f>
        <v>0</v>
      </c>
      <c r="H480" s="1420"/>
      <c r="I480" s="1420"/>
      <c r="J480" s="1378"/>
      <c r="K480" s="1379"/>
    </row>
    <row r="481" spans="1:11">
      <c r="A481" s="376"/>
      <c r="B481" s="958"/>
      <c r="C481" s="141"/>
      <c r="D481" s="80"/>
      <c r="E481" s="293"/>
      <c r="F481" s="373"/>
      <c r="G481" s="373"/>
      <c r="H481" s="1431"/>
      <c r="I481" s="1431"/>
      <c r="J481" s="1378"/>
      <c r="K481" s="1379"/>
    </row>
    <row r="482" spans="1:11" ht="78.75">
      <c r="A482" s="144" t="s">
        <v>312</v>
      </c>
      <c r="B482" s="1020" t="s">
        <v>313</v>
      </c>
      <c r="C482" s="889" t="s">
        <v>1247</v>
      </c>
      <c r="D482" s="385" t="s">
        <v>176</v>
      </c>
      <c r="E482" s="293">
        <f>2*31.41</f>
        <v>62.82</v>
      </c>
      <c r="F482" s="807"/>
      <c r="G482" s="373">
        <f>E482*F482</f>
        <v>0</v>
      </c>
      <c r="H482" s="1420"/>
      <c r="I482" s="1420"/>
      <c r="J482" s="1378"/>
      <c r="K482" s="1379"/>
    </row>
    <row r="483" spans="1:11">
      <c r="A483" s="376"/>
      <c r="B483" s="958"/>
      <c r="C483" s="141"/>
      <c r="D483" s="80"/>
      <c r="E483" s="293"/>
      <c r="F483" s="373"/>
      <c r="G483" s="373"/>
      <c r="H483" s="1431"/>
      <c r="I483" s="1431"/>
      <c r="J483" s="1378"/>
      <c r="K483" s="1379"/>
    </row>
    <row r="484" spans="1:11" ht="78.75">
      <c r="A484" s="357" t="s">
        <v>314</v>
      </c>
      <c r="B484" s="1020" t="s">
        <v>315</v>
      </c>
      <c r="C484" s="889" t="s">
        <v>1247</v>
      </c>
      <c r="D484" s="385" t="s">
        <v>176</v>
      </c>
      <c r="E484" s="293">
        <f>2*(7.42+7.05+10.25+15.75)+31.41*2</f>
        <v>143.76</v>
      </c>
      <c r="F484" s="807"/>
      <c r="G484" s="373">
        <f>E484*F484</f>
        <v>0</v>
      </c>
      <c r="H484" s="1420"/>
      <c r="I484" s="1420"/>
      <c r="J484" s="1378"/>
      <c r="K484" s="1379"/>
    </row>
    <row r="485" spans="1:11">
      <c r="A485" s="376"/>
      <c r="B485" s="958"/>
      <c r="C485" s="141"/>
      <c r="D485" s="80"/>
      <c r="E485" s="293"/>
      <c r="F485" s="373"/>
      <c r="G485" s="373"/>
      <c r="H485" s="1431"/>
      <c r="I485" s="1431"/>
      <c r="J485" s="1378"/>
      <c r="K485" s="1379"/>
    </row>
    <row r="486" spans="1:11" ht="94.5">
      <c r="A486" s="357" t="s">
        <v>316</v>
      </c>
      <c r="B486" s="1020" t="s">
        <v>317</v>
      </c>
      <c r="C486" s="889" t="s">
        <v>1247</v>
      </c>
      <c r="D486" s="385" t="s">
        <v>176</v>
      </c>
      <c r="E486" s="293">
        <f>2*(7.42+7.05+10.25+15.75)+31.41*2+4*7.13+2*10.38+7.27+15.37+2*29.41</f>
        <v>274.5</v>
      </c>
      <c r="F486" s="807"/>
      <c r="G486" s="373">
        <f>E486*F486</f>
        <v>0</v>
      </c>
      <c r="H486" s="1420"/>
      <c r="I486" s="1420"/>
      <c r="J486" s="1378"/>
      <c r="K486" s="1379"/>
    </row>
    <row r="487" spans="1:11">
      <c r="A487" s="376"/>
      <c r="B487" s="958"/>
      <c r="C487" s="141"/>
      <c r="D487" s="80"/>
      <c r="E487" s="293"/>
      <c r="F487" s="373"/>
      <c r="G487" s="373"/>
      <c r="H487" s="1431"/>
      <c r="I487" s="1431"/>
      <c r="J487" s="1378"/>
      <c r="K487" s="1379"/>
    </row>
    <row r="488" spans="1:11" ht="94.5">
      <c r="A488" s="357" t="s">
        <v>318</v>
      </c>
      <c r="B488" s="1020" t="s">
        <v>317</v>
      </c>
      <c r="C488" s="889" t="s">
        <v>1247</v>
      </c>
      <c r="D488" s="385" t="s">
        <v>176</v>
      </c>
      <c r="E488" s="293">
        <f>2*(7.42+7.05+10.25+15.75)+31.41*2</f>
        <v>143.76</v>
      </c>
      <c r="F488" s="807"/>
      <c r="G488" s="373">
        <f>E488*F488</f>
        <v>0</v>
      </c>
      <c r="H488" s="1420"/>
      <c r="I488" s="1420"/>
      <c r="J488" s="1378"/>
      <c r="K488" s="1379"/>
    </row>
    <row r="489" spans="1:11">
      <c r="A489" s="376"/>
      <c r="B489" s="958"/>
      <c r="C489" s="141"/>
      <c r="D489" s="80"/>
      <c r="E489" s="293"/>
      <c r="F489" s="373"/>
      <c r="G489" s="373"/>
      <c r="H489" s="1431"/>
      <c r="I489" s="1431"/>
      <c r="J489" s="1378"/>
      <c r="K489" s="1379"/>
    </row>
    <row r="490" spans="1:11" ht="78.75">
      <c r="A490" s="357" t="s">
        <v>319</v>
      </c>
      <c r="B490" s="1020" t="s">
        <v>320</v>
      </c>
      <c r="C490" s="889" t="s">
        <v>1247</v>
      </c>
      <c r="D490" s="385" t="s">
        <v>176</v>
      </c>
      <c r="E490" s="293">
        <f>(0.4+0.75+1.18+0.5+0.5)*2+4*29.41</f>
        <v>124.3</v>
      </c>
      <c r="F490" s="807"/>
      <c r="G490" s="373">
        <f>E490*F490</f>
        <v>0</v>
      </c>
      <c r="H490" s="1420"/>
      <c r="I490" s="1420"/>
      <c r="J490" s="1378"/>
      <c r="K490" s="1379"/>
    </row>
    <row r="491" spans="1:11">
      <c r="A491" s="376"/>
      <c r="B491" s="958"/>
      <c r="C491" s="141"/>
      <c r="D491" s="385"/>
      <c r="E491" s="381"/>
      <c r="F491" s="348"/>
      <c r="G491" s="348"/>
      <c r="H491" s="1407"/>
      <c r="I491" s="1407"/>
      <c r="J491" s="1378"/>
      <c r="K491" s="1379"/>
    </row>
    <row r="492" spans="1:11" ht="47.25">
      <c r="A492" s="144">
        <v>10</v>
      </c>
      <c r="B492" s="933" t="s">
        <v>321</v>
      </c>
      <c r="C492" s="889" t="s">
        <v>1247</v>
      </c>
      <c r="D492" s="80" t="s">
        <v>176</v>
      </c>
      <c r="E492" s="293">
        <f>31.47*2*2</f>
        <v>125.88</v>
      </c>
      <c r="F492" s="807"/>
      <c r="G492" s="373">
        <f>+F492*E492</f>
        <v>0</v>
      </c>
      <c r="H492" s="1420"/>
      <c r="I492" s="1420"/>
      <c r="J492" s="1378"/>
      <c r="K492" s="1379"/>
    </row>
    <row r="493" spans="1:11">
      <c r="A493" s="296"/>
      <c r="B493" s="976" t="s">
        <v>322</v>
      </c>
      <c r="C493" s="230"/>
      <c r="D493" s="298"/>
      <c r="E493" s="299"/>
      <c r="F493" s="300"/>
      <c r="G493" s="301">
        <f>SUM(G466:G492)</f>
        <v>0</v>
      </c>
      <c r="H493" s="1422"/>
      <c r="I493" s="1422"/>
      <c r="J493" s="1378"/>
      <c r="K493" s="1379"/>
    </row>
    <row r="494" spans="1:11">
      <c r="A494" s="302"/>
      <c r="B494" s="1008"/>
      <c r="C494" s="303"/>
      <c r="D494" s="304"/>
      <c r="E494" s="305"/>
      <c r="F494" s="306"/>
      <c r="G494" s="306"/>
      <c r="H494" s="1423"/>
      <c r="I494" s="1423"/>
      <c r="J494" s="1378"/>
      <c r="K494" s="1379"/>
    </row>
    <row r="495" spans="1:11">
      <c r="A495" s="388"/>
      <c r="B495" s="964" t="s">
        <v>323</v>
      </c>
      <c r="C495" s="204"/>
      <c r="D495" s="372"/>
      <c r="E495" s="389"/>
      <c r="F495" s="390"/>
      <c r="G495" s="391"/>
      <c r="H495" s="1407"/>
      <c r="I495" s="1407"/>
      <c r="J495" s="1378"/>
      <c r="K495" s="1379"/>
    </row>
    <row r="496" spans="1:11">
      <c r="A496"/>
      <c r="B496" s="94"/>
      <c r="C496"/>
      <c r="D496" s="385"/>
      <c r="E496" s="381"/>
      <c r="F496" s="348"/>
      <c r="G496" s="348"/>
      <c r="H496" s="1407"/>
      <c r="I496" s="1407"/>
      <c r="J496" s="1378"/>
      <c r="K496" s="1379"/>
    </row>
    <row r="497" spans="1:11" ht="47.25">
      <c r="A497" s="73">
        <v>1</v>
      </c>
      <c r="B497" s="944" t="s">
        <v>238</v>
      </c>
      <c r="C497" s="889" t="s">
        <v>1247</v>
      </c>
      <c r="D497" s="80" t="s">
        <v>11</v>
      </c>
      <c r="E497" s="381">
        <v>11</v>
      </c>
      <c r="F497" s="807"/>
      <c r="G497" s="348">
        <f>+F497*E497</f>
        <v>0</v>
      </c>
      <c r="H497" s="1424"/>
      <c r="I497" s="1424"/>
      <c r="J497" s="1378"/>
      <c r="K497" s="1379"/>
    </row>
    <row r="498" spans="1:11">
      <c r="A498" s="392"/>
      <c r="B498" s="1021"/>
      <c r="C498" s="393"/>
      <c r="D498" s="394"/>
      <c r="E498" s="395"/>
      <c r="F498" s="294"/>
      <c r="G498" s="294"/>
      <c r="H498" s="1407"/>
      <c r="I498" s="1407"/>
      <c r="J498" s="1378"/>
      <c r="K498" s="1379"/>
    </row>
    <row r="499" spans="1:11" ht="47.25">
      <c r="A499" s="178">
        <v>2</v>
      </c>
      <c r="B499" s="933" t="s">
        <v>324</v>
      </c>
      <c r="C499" s="889" t="s">
        <v>1247</v>
      </c>
      <c r="D499" s="77" t="s">
        <v>299</v>
      </c>
      <c r="E499" s="381">
        <f>31.44*3*0.9</f>
        <v>84.888000000000005</v>
      </c>
      <c r="F499" s="807"/>
      <c r="G499" s="294">
        <f>F499*E499</f>
        <v>0</v>
      </c>
      <c r="H499" s="1424"/>
      <c r="I499" s="1424"/>
      <c r="J499" s="1378"/>
      <c r="K499" s="1379"/>
    </row>
    <row r="500" spans="1:11">
      <c r="A500" s="396"/>
      <c r="B500" s="936" t="s">
        <v>245</v>
      </c>
      <c r="C500" s="96"/>
      <c r="D500" s="343"/>
      <c r="E500" s="397"/>
      <c r="F500" s="345"/>
      <c r="G500" s="301">
        <f>SUM(G497:G499)</f>
        <v>0</v>
      </c>
      <c r="H500" s="1425"/>
      <c r="I500" s="1425"/>
      <c r="J500" s="1378"/>
      <c r="K500" s="1379"/>
    </row>
    <row r="501" spans="1:11">
      <c r="A501" s="302"/>
      <c r="B501" s="1008"/>
      <c r="C501" s="303"/>
      <c r="D501" s="304"/>
      <c r="E501" s="305"/>
      <c r="F501" s="306"/>
      <c r="G501" s="306"/>
      <c r="H501" s="1423"/>
      <c r="I501" s="1423"/>
      <c r="J501" s="1378"/>
      <c r="K501" s="1379"/>
    </row>
    <row r="502" spans="1:11">
      <c r="A502" s="96"/>
      <c r="B502" s="936" t="s">
        <v>325</v>
      </c>
      <c r="C502" s="96"/>
      <c r="D502" s="96"/>
      <c r="E502" s="96"/>
      <c r="F502" s="96"/>
      <c r="G502" s="96"/>
      <c r="H502" s="1426"/>
      <c r="I502" s="1426"/>
      <c r="J502" s="1378"/>
      <c r="K502" s="1379"/>
    </row>
    <row r="503" spans="1:11">
      <c r="A503" s="339" t="s">
        <v>247</v>
      </c>
      <c r="B503" s="1022" t="s">
        <v>326</v>
      </c>
      <c r="C503" s="400"/>
      <c r="D503" s="337"/>
      <c r="E503" s="338"/>
      <c r="F503" s="294"/>
      <c r="G503" s="294">
        <f>G452</f>
        <v>0</v>
      </c>
      <c r="H503" s="1407"/>
      <c r="I503" s="1407"/>
      <c r="J503" s="1378"/>
      <c r="K503" s="1379"/>
    </row>
    <row r="504" spans="1:11">
      <c r="A504" s="339" t="s">
        <v>249</v>
      </c>
      <c r="B504" s="933" t="s">
        <v>327</v>
      </c>
      <c r="C504" s="74"/>
      <c r="D504" s="337"/>
      <c r="E504" s="338"/>
      <c r="F504" s="294"/>
      <c r="G504" s="294">
        <f>+G457</f>
        <v>0</v>
      </c>
      <c r="H504" s="1407"/>
      <c r="I504" s="1407"/>
      <c r="J504" s="1378"/>
      <c r="K504" s="1379"/>
    </row>
    <row r="505" spans="1:11">
      <c r="A505" s="339" t="s">
        <v>251</v>
      </c>
      <c r="B505" s="1003" t="s">
        <v>262</v>
      </c>
      <c r="C505" s="76"/>
      <c r="D505" s="337"/>
      <c r="E505" s="338"/>
      <c r="F505" s="294"/>
      <c r="G505" s="294">
        <f>+G462</f>
        <v>0</v>
      </c>
      <c r="H505" s="1407"/>
      <c r="I505" s="1407"/>
      <c r="J505" s="1378"/>
      <c r="K505" s="1379"/>
    </row>
    <row r="506" spans="1:11">
      <c r="A506" s="339" t="s">
        <v>253</v>
      </c>
      <c r="B506" s="933" t="s">
        <v>328</v>
      </c>
      <c r="C506" s="74"/>
      <c r="D506" s="337"/>
      <c r="E506" s="338"/>
      <c r="F506" s="294"/>
      <c r="G506" s="294">
        <f>G493</f>
        <v>0</v>
      </c>
      <c r="H506" s="1407"/>
      <c r="I506" s="1407"/>
      <c r="J506" s="1378"/>
      <c r="K506" s="1379"/>
    </row>
    <row r="507" spans="1:11">
      <c r="A507" s="339" t="s">
        <v>255</v>
      </c>
      <c r="B507" s="1003" t="s">
        <v>273</v>
      </c>
      <c r="C507" s="76"/>
      <c r="D507" s="337"/>
      <c r="E507" s="338"/>
      <c r="F507" s="294"/>
      <c r="G507" s="294">
        <f>+G500</f>
        <v>0</v>
      </c>
      <c r="H507" s="1407"/>
      <c r="I507" s="1407"/>
      <c r="J507" s="1378"/>
      <c r="K507" s="1379"/>
    </row>
    <row r="508" spans="1:11">
      <c r="A508" s="296"/>
      <c r="B508" s="976" t="s">
        <v>329</v>
      </c>
      <c r="C508" s="297"/>
      <c r="D508" s="343"/>
      <c r="E508" s="344"/>
      <c r="F508" s="345"/>
      <c r="G508" s="301">
        <f>SUM(G503:G507)</f>
        <v>0</v>
      </c>
      <c r="H508" s="1425"/>
      <c r="I508" s="1425"/>
      <c r="J508" s="1378"/>
      <c r="K508" s="1379"/>
    </row>
    <row r="509" spans="1:11">
      <c r="A509" s="302"/>
      <c r="B509" s="1008"/>
      <c r="C509" s="303"/>
      <c r="D509" s="304"/>
      <c r="E509" s="305"/>
      <c r="F509" s="306"/>
      <c r="G509" s="306"/>
      <c r="H509" s="1423"/>
      <c r="I509" s="1423"/>
      <c r="J509" s="1378"/>
      <c r="K509" s="1379"/>
    </row>
    <row r="510" spans="1:11">
      <c r="A510" s="302"/>
      <c r="B510" s="1023"/>
      <c r="C510" s="401"/>
      <c r="D510" s="398"/>
      <c r="E510" s="399"/>
      <c r="F510" s="315"/>
      <c r="G510" s="306"/>
      <c r="H510" s="1407"/>
      <c r="I510" s="1407"/>
      <c r="J510" s="1378"/>
      <c r="K510" s="1379"/>
    </row>
    <row r="511" spans="1:11">
      <c r="A511" s="296"/>
      <c r="B511" s="976" t="s">
        <v>330</v>
      </c>
      <c r="C511" s="230"/>
      <c r="D511" s="343"/>
      <c r="E511" s="344"/>
      <c r="F511" s="345"/>
      <c r="G511" s="402"/>
      <c r="H511" s="1425"/>
      <c r="I511" s="1425"/>
      <c r="J511" s="1378"/>
      <c r="K511" s="1379"/>
    </row>
    <row r="512" spans="1:11">
      <c r="A512" s="336"/>
      <c r="B512" s="1012" t="s">
        <v>275</v>
      </c>
      <c r="C512" s="278"/>
      <c r="D512" s="337"/>
      <c r="E512" s="338"/>
      <c r="F512" s="294"/>
      <c r="G512" s="294">
        <f>G435</f>
        <v>0</v>
      </c>
      <c r="H512" s="1407"/>
      <c r="I512" s="1407"/>
      <c r="J512" s="1378"/>
      <c r="K512" s="1379"/>
    </row>
    <row r="513" spans="1:11">
      <c r="A513" s="336"/>
      <c r="B513" s="1024" t="s">
        <v>288</v>
      </c>
      <c r="C513" s="403"/>
      <c r="D513" s="337"/>
      <c r="E513" s="338"/>
      <c r="F513" s="294"/>
      <c r="G513" s="294">
        <f>G508</f>
        <v>0</v>
      </c>
      <c r="H513" s="1407"/>
      <c r="I513" s="1407"/>
      <c r="J513" s="1378"/>
      <c r="K513" s="1379"/>
    </row>
    <row r="514" spans="1:11">
      <c r="A514" s="404"/>
      <c r="B514" s="936" t="s">
        <v>933</v>
      </c>
      <c r="C514" s="185"/>
      <c r="D514" s="343"/>
      <c r="E514" s="344"/>
      <c r="F514" s="345"/>
      <c r="G514" s="301">
        <f>SUM(G512:G513)</f>
        <v>0</v>
      </c>
      <c r="H514" s="1425"/>
      <c r="I514" s="1425"/>
      <c r="J514" s="1378"/>
      <c r="K514" s="1379"/>
    </row>
    <row r="515" spans="1:11">
      <c r="J515" s="1378"/>
      <c r="K515" s="1379"/>
    </row>
    <row r="516" spans="1:11">
      <c r="J516" s="1378"/>
      <c r="K516" s="1379"/>
    </row>
    <row r="517" spans="1:11">
      <c r="A517" s="789"/>
      <c r="B517" s="1511" t="s">
        <v>900</v>
      </c>
      <c r="C517" s="1511"/>
      <c r="D517" s="1511"/>
      <c r="E517" s="1511"/>
      <c r="F517" s="1511"/>
      <c r="G517" s="1511"/>
      <c r="H517" s="1374"/>
      <c r="I517" s="1389"/>
      <c r="J517" s="1378"/>
      <c r="K517" s="1379"/>
    </row>
    <row r="518" spans="1:11">
      <c r="A518" s="273"/>
      <c r="B518" s="1024" t="s">
        <v>339</v>
      </c>
      <c r="C518" s="66"/>
      <c r="D518" s="274"/>
      <c r="E518" s="275"/>
      <c r="F518" s="276"/>
      <c r="G518" s="277"/>
      <c r="H518" s="1416"/>
      <c r="I518" s="1416"/>
      <c r="J518" s="1378"/>
      <c r="K518" s="1379"/>
    </row>
    <row r="519" spans="1:11">
      <c r="A519" s="273"/>
      <c r="B519" s="1006"/>
      <c r="C519" s="279"/>
      <c r="D519" s="274"/>
      <c r="E519" s="275"/>
      <c r="F519" s="276"/>
      <c r="G519" s="277"/>
      <c r="H519" s="1416"/>
      <c r="I519" s="1416"/>
      <c r="J519" s="1378"/>
      <c r="K519" s="1379"/>
    </row>
    <row r="520" spans="1:11" ht="30">
      <c r="A520" s="766" t="s">
        <v>891</v>
      </c>
      <c r="B520" s="920" t="s">
        <v>892</v>
      </c>
      <c r="C520" s="768" t="s">
        <v>894</v>
      </c>
      <c r="D520" s="768" t="s">
        <v>1</v>
      </c>
      <c r="E520" s="769" t="s">
        <v>893</v>
      </c>
      <c r="F520" s="769" t="s">
        <v>1234</v>
      </c>
      <c r="G520" s="769" t="s">
        <v>1233</v>
      </c>
      <c r="H520" s="1375"/>
      <c r="I520" s="1376"/>
      <c r="J520" s="1378"/>
      <c r="K520" s="1379"/>
    </row>
    <row r="521" spans="1:11">
      <c r="A521" s="405"/>
      <c r="B521" s="1025"/>
      <c r="C521" s="406"/>
      <c r="D521" s="406"/>
      <c r="E521" s="407"/>
      <c r="F521" s="408"/>
      <c r="G521" s="409"/>
      <c r="H521" s="1416"/>
      <c r="I521" s="1416"/>
      <c r="J521" s="1378"/>
      <c r="K521" s="1379"/>
    </row>
    <row r="522" spans="1:11">
      <c r="A522" s="410"/>
      <c r="B522" s="948" t="s">
        <v>276</v>
      </c>
      <c r="C522" s="1189" t="s">
        <v>1272</v>
      </c>
      <c r="D522" s="281"/>
      <c r="E522" s="282"/>
      <c r="F522" s="283"/>
      <c r="G522" s="284"/>
      <c r="H522" s="1417"/>
      <c r="I522" s="1417"/>
      <c r="J522" s="1378"/>
      <c r="K522" s="1379"/>
    </row>
    <row r="523" spans="1:11">
      <c r="A523" s="411"/>
      <c r="B523" s="1026"/>
      <c r="C523" s="413"/>
      <c r="D523" s="414"/>
      <c r="E523" s="415"/>
      <c r="F523" s="416"/>
      <c r="G523" s="416"/>
      <c r="H523" s="1417"/>
      <c r="I523" s="1417"/>
      <c r="J523" s="1378"/>
      <c r="K523" s="1379"/>
    </row>
    <row r="524" spans="1:11" ht="31.5">
      <c r="A524" s="90" t="s">
        <v>60</v>
      </c>
      <c r="B524" s="933" t="s">
        <v>331</v>
      </c>
      <c r="C524" s="889" t="s">
        <v>1248</v>
      </c>
      <c r="D524" s="291" t="s">
        <v>62</v>
      </c>
      <c r="E524" s="381">
        <f>+(0.6+6+0.6)*(0.6+2.1+0.6)</f>
        <v>23.759999999999998</v>
      </c>
      <c r="F524" s="807"/>
      <c r="G524" s="88">
        <f>F524*E524</f>
        <v>0</v>
      </c>
      <c r="H524" s="1392"/>
      <c r="I524" s="1392"/>
      <c r="J524" s="1378"/>
      <c r="K524" s="1379"/>
    </row>
    <row r="525" spans="1:11">
      <c r="A525" s="417"/>
      <c r="B525" s="1027"/>
      <c r="C525" s="418"/>
      <c r="D525" s="432"/>
      <c r="E525" s="381"/>
      <c r="F525" s="210"/>
      <c r="G525" s="210"/>
      <c r="H525" s="1391"/>
      <c r="I525" s="1391"/>
      <c r="J525" s="1378"/>
      <c r="K525" s="1379"/>
    </row>
    <row r="526" spans="1:11" ht="47.25">
      <c r="A526" s="90" t="s">
        <v>49</v>
      </c>
      <c r="B526" s="933" t="s">
        <v>340</v>
      </c>
      <c r="C526" s="889" t="s">
        <v>1248</v>
      </c>
      <c r="D526" s="106" t="s">
        <v>332</v>
      </c>
      <c r="E526" s="381">
        <f>+((2.7*6.6)+(4*7.9))/2*0.65</f>
        <v>16.061500000000002</v>
      </c>
      <c r="F526" s="807"/>
      <c r="G526" s="88">
        <f>F526*E526</f>
        <v>0</v>
      </c>
      <c r="H526" s="1393"/>
      <c r="I526" s="1393"/>
      <c r="J526" s="1378"/>
      <c r="K526" s="1379"/>
    </row>
    <row r="527" spans="1:11">
      <c r="A527" s="417"/>
      <c r="B527" s="1027"/>
      <c r="C527" s="418"/>
      <c r="D527" s="106"/>
      <c r="E527" s="381"/>
      <c r="F527" s="88"/>
      <c r="G527" s="88"/>
      <c r="H527" s="1391"/>
      <c r="I527" s="1391"/>
      <c r="J527" s="1378"/>
      <c r="K527" s="1379"/>
    </row>
    <row r="528" spans="1:11" ht="63">
      <c r="A528" s="90" t="s">
        <v>52</v>
      </c>
      <c r="B528" s="933" t="s">
        <v>341</v>
      </c>
      <c r="C528" s="889" t="s">
        <v>1248</v>
      </c>
      <c r="D528" s="106" t="s">
        <v>332</v>
      </c>
      <c r="E528" s="381">
        <v>7.18</v>
      </c>
      <c r="F528" s="807"/>
      <c r="G528" s="88">
        <f>F528*E528</f>
        <v>0</v>
      </c>
      <c r="H528" s="1393"/>
      <c r="I528" s="1393"/>
      <c r="J528" s="1378"/>
      <c r="K528" s="1379"/>
    </row>
    <row r="529" spans="1:11">
      <c r="A529" s="417"/>
      <c r="B529" s="1027"/>
      <c r="C529" s="418"/>
      <c r="D529" s="86"/>
      <c r="E529" s="381"/>
      <c r="F529" s="86"/>
      <c r="G529" s="86"/>
      <c r="H529" s="1421"/>
      <c r="I529" s="1421"/>
      <c r="J529" s="1378"/>
      <c r="K529" s="1379"/>
    </row>
    <row r="530" spans="1:11" ht="78.75">
      <c r="A530" s="90" t="s">
        <v>56</v>
      </c>
      <c r="B530" s="933" t="s">
        <v>342</v>
      </c>
      <c r="C530" s="889" t="s">
        <v>1248</v>
      </c>
      <c r="D530" s="106" t="s">
        <v>332</v>
      </c>
      <c r="E530" s="381">
        <f>+(1.6*5.5)*0.3</f>
        <v>2.64</v>
      </c>
      <c r="F530" s="807"/>
      <c r="G530" s="88">
        <f>F530*E530</f>
        <v>0</v>
      </c>
      <c r="H530" s="1393"/>
      <c r="I530" s="1393"/>
      <c r="J530" s="1378"/>
      <c r="K530" s="1379"/>
    </row>
    <row r="531" spans="1:11">
      <c r="A531" s="92"/>
      <c r="B531" s="934"/>
      <c r="C531" s="79"/>
      <c r="D531" s="106"/>
      <c r="E531" s="381"/>
      <c r="F531" s="88"/>
      <c r="G531" s="88"/>
      <c r="H531" s="1391"/>
      <c r="I531" s="1391"/>
      <c r="J531" s="1378"/>
      <c r="K531" s="1379"/>
    </row>
    <row r="532" spans="1:11" ht="47.25">
      <c r="A532" s="90" t="s">
        <v>343</v>
      </c>
      <c r="B532" s="1020" t="s">
        <v>344</v>
      </c>
      <c r="C532" s="889" t="s">
        <v>1248</v>
      </c>
      <c r="D532" s="106" t="s">
        <v>332</v>
      </c>
      <c r="E532" s="381">
        <f>16.06-((7.29*0.05+4.98)+0.25*0.3*2*(6+1.6))</f>
        <v>9.5754999999999981</v>
      </c>
      <c r="F532" s="807"/>
      <c r="G532" s="88">
        <f>F532*E532</f>
        <v>0</v>
      </c>
      <c r="H532" s="1393"/>
      <c r="I532" s="1393"/>
      <c r="J532" s="1378"/>
      <c r="K532" s="1379"/>
    </row>
    <row r="533" spans="1:11">
      <c r="A533" s="436"/>
      <c r="B533" s="976" t="s">
        <v>58</v>
      </c>
      <c r="C533" s="297"/>
      <c r="D533" s="437"/>
      <c r="E533" s="438"/>
      <c r="F533" s="439"/>
      <c r="G533" s="301">
        <f>SUM(G524:G532)</f>
        <v>0</v>
      </c>
      <c r="H533" s="1422"/>
      <c r="I533" s="1422"/>
      <c r="J533" s="1378"/>
      <c r="K533" s="1379"/>
    </row>
    <row r="534" spans="1:11">
      <c r="A534" s="421"/>
      <c r="B534" s="1028"/>
      <c r="C534" s="422"/>
      <c r="D534" s="423"/>
      <c r="E534" s="416"/>
      <c r="F534" s="424"/>
      <c r="G534" s="424"/>
      <c r="H534" s="1423"/>
      <c r="I534" s="1423"/>
      <c r="J534" s="1378"/>
      <c r="K534" s="1379"/>
    </row>
    <row r="535" spans="1:11" ht="47.25">
      <c r="A535" s="280"/>
      <c r="B535" s="948" t="s">
        <v>59</v>
      </c>
      <c r="C535" s="1188" t="s">
        <v>1244</v>
      </c>
      <c r="D535" s="450"/>
      <c r="E535" s="389"/>
      <c r="F535" s="390"/>
      <c r="G535" s="353"/>
      <c r="H535" s="1407"/>
      <c r="I535" s="1407"/>
      <c r="J535" s="1378"/>
      <c r="K535" s="1379"/>
    </row>
    <row r="536" spans="1:11">
      <c r="A536" s="425"/>
      <c r="B536" s="1029"/>
      <c r="C536" s="426"/>
      <c r="D536" s="427"/>
      <c r="E536" s="428"/>
      <c r="F536" s="429"/>
      <c r="G536" s="429"/>
      <c r="H536" s="1407"/>
      <c r="I536" s="1407"/>
      <c r="J536" s="1378"/>
      <c r="K536" s="1379"/>
    </row>
    <row r="537" spans="1:11" ht="47.25">
      <c r="A537" s="237">
        <v>1</v>
      </c>
      <c r="B537" s="933" t="s">
        <v>281</v>
      </c>
      <c r="C537" s="889" t="s">
        <v>1248</v>
      </c>
      <c r="D537" s="291" t="s">
        <v>282</v>
      </c>
      <c r="E537" s="381">
        <f>+(1.6*5.5)+0.45*2*(6+2.1)</f>
        <v>16.09</v>
      </c>
      <c r="F537" s="807"/>
      <c r="G537" s="88">
        <f>F537*E537</f>
        <v>0</v>
      </c>
      <c r="H537" s="1393"/>
      <c r="I537" s="1393"/>
      <c r="J537" s="1378"/>
      <c r="K537" s="1379"/>
    </row>
    <row r="538" spans="1:11">
      <c r="A538" s="430"/>
      <c r="B538" s="1030"/>
      <c r="C538" s="431"/>
      <c r="D538" s="419"/>
      <c r="E538" s="381"/>
      <c r="F538" s="210"/>
      <c r="G538" s="210"/>
      <c r="H538" s="1391"/>
      <c r="I538" s="1391"/>
      <c r="J538" s="1378"/>
      <c r="K538" s="1379"/>
    </row>
    <row r="539" spans="1:11" ht="47.25">
      <c r="A539" s="351">
        <v>2</v>
      </c>
      <c r="B539" s="933" t="s">
        <v>345</v>
      </c>
      <c r="C539" s="889" t="s">
        <v>1248</v>
      </c>
      <c r="D539" s="77" t="s">
        <v>19</v>
      </c>
      <c r="E539" s="381">
        <f>2.1*6*0.15</f>
        <v>1.8900000000000001</v>
      </c>
      <c r="F539" s="807"/>
      <c r="G539" s="88">
        <f>F539*E539</f>
        <v>0</v>
      </c>
      <c r="H539" s="1393"/>
      <c r="I539" s="1393"/>
      <c r="J539" s="1378"/>
      <c r="K539" s="1379"/>
    </row>
    <row r="540" spans="1:11">
      <c r="A540" s="430"/>
      <c r="B540" s="1030"/>
      <c r="C540" s="431"/>
      <c r="D540" s="432"/>
      <c r="E540" s="381"/>
      <c r="F540" s="210"/>
      <c r="G540" s="210"/>
      <c r="H540" s="1391"/>
      <c r="I540" s="1391"/>
      <c r="J540" s="1378"/>
      <c r="K540" s="1379"/>
    </row>
    <row r="541" spans="1:11" ht="47.25">
      <c r="A541" s="351">
        <v>3</v>
      </c>
      <c r="B541" s="933" t="s">
        <v>346</v>
      </c>
      <c r="C541" s="889" t="s">
        <v>1248</v>
      </c>
      <c r="D541" s="77" t="s">
        <v>19</v>
      </c>
      <c r="E541" s="381">
        <f>2*(6+1.6)*0.25*0.9</f>
        <v>3.42</v>
      </c>
      <c r="F541" s="807"/>
      <c r="G541" s="88">
        <f>F541*E541</f>
        <v>0</v>
      </c>
      <c r="H541" s="1393"/>
      <c r="I541" s="1393"/>
      <c r="J541" s="1378"/>
      <c r="K541" s="1379"/>
    </row>
    <row r="542" spans="1:11">
      <c r="A542" s="436"/>
      <c r="B542" s="936" t="s">
        <v>335</v>
      </c>
      <c r="C542" s="96"/>
      <c r="D542" s="437"/>
      <c r="E542" s="438"/>
      <c r="F542" s="439"/>
      <c r="G542" s="301">
        <f>SUM(G537:G541)</f>
        <v>0</v>
      </c>
      <c r="H542" s="1422"/>
      <c r="I542" s="1422"/>
      <c r="J542" s="1378"/>
      <c r="K542" s="1379"/>
    </row>
    <row r="543" spans="1:11">
      <c r="A543" s="421"/>
      <c r="B543" s="1028"/>
      <c r="C543" s="422"/>
      <c r="D543" s="423"/>
      <c r="E543" s="416"/>
      <c r="F543" s="424"/>
      <c r="G543" s="424"/>
      <c r="H543" s="1423"/>
      <c r="I543" s="1423"/>
      <c r="J543" s="1378"/>
      <c r="K543" s="1379"/>
    </row>
    <row r="544" spans="1:11">
      <c r="A544" s="451"/>
      <c r="B544" s="938" t="s">
        <v>81</v>
      </c>
      <c r="C544" s="1188" t="s">
        <v>1244</v>
      </c>
      <c r="D544" s="452"/>
      <c r="E544" s="282"/>
      <c r="F544" s="390"/>
      <c r="G544" s="453"/>
      <c r="H544" s="1407"/>
      <c r="I544" s="1407"/>
      <c r="J544" s="1378"/>
      <c r="K544" s="1379"/>
    </row>
    <row r="545" spans="1:11">
      <c r="A545" s="349"/>
      <c r="B545" s="1007"/>
      <c r="C545" s="286"/>
      <c r="D545" s="317"/>
      <c r="E545" s="293"/>
      <c r="F545" s="294"/>
      <c r="G545" s="294"/>
      <c r="H545" s="1407"/>
      <c r="I545" s="1407"/>
      <c r="J545" s="1378"/>
      <c r="K545" s="1379"/>
    </row>
    <row r="546" spans="1:11" ht="63">
      <c r="A546" s="90" t="s">
        <v>60</v>
      </c>
      <c r="B546" s="933" t="s">
        <v>284</v>
      </c>
      <c r="C546" s="889" t="s">
        <v>1248</v>
      </c>
      <c r="D546" s="440"/>
      <c r="E546" s="441"/>
      <c r="F546" s="82"/>
      <c r="G546" s="64"/>
      <c r="H546" s="1391"/>
      <c r="I546" s="1391"/>
      <c r="J546" s="1378"/>
      <c r="K546" s="1379"/>
    </row>
    <row r="547" spans="1:11">
      <c r="A547" s="92"/>
      <c r="B547" s="933" t="s">
        <v>336</v>
      </c>
      <c r="C547" s="74"/>
      <c r="D547" s="440"/>
      <c r="E547" s="441"/>
      <c r="F547" s="82"/>
      <c r="G547" s="64"/>
      <c r="H547" s="1391"/>
      <c r="I547" s="1391"/>
      <c r="J547" s="1378"/>
      <c r="K547" s="1379"/>
    </row>
    <row r="548" spans="1:11">
      <c r="A548" s="92"/>
      <c r="B548" s="933" t="s">
        <v>337</v>
      </c>
      <c r="C548" s="74"/>
      <c r="D548" s="77" t="s">
        <v>83</v>
      </c>
      <c r="E548" s="295">
        <f>+(1.89+3.42)*130</f>
        <v>690.3</v>
      </c>
      <c r="F548" s="807"/>
      <c r="G548" s="88">
        <f>F548*E548</f>
        <v>0</v>
      </c>
      <c r="H548" s="1393"/>
      <c r="I548" s="1393"/>
      <c r="J548" s="1378"/>
      <c r="K548" s="1379"/>
    </row>
    <row r="549" spans="1:11">
      <c r="A549" s="396"/>
      <c r="B549" s="936" t="s">
        <v>84</v>
      </c>
      <c r="C549" s="96"/>
      <c r="D549" s="343"/>
      <c r="E549" s="397"/>
      <c r="F549" s="345"/>
      <c r="G549" s="301">
        <f>SUM(G548:G548)</f>
        <v>0</v>
      </c>
      <c r="H549" s="1425"/>
      <c r="I549" s="1425"/>
      <c r="J549" s="1378"/>
      <c r="K549" s="1379"/>
    </row>
    <row r="550" spans="1:11">
      <c r="A550" s="421"/>
      <c r="B550" s="1028"/>
      <c r="C550" s="422"/>
      <c r="D550" s="423"/>
      <c r="E550" s="416"/>
      <c r="F550" s="424"/>
      <c r="G550" s="424"/>
      <c r="H550" s="1423"/>
      <c r="I550" s="1423"/>
      <c r="J550" s="1378"/>
      <c r="K550" s="1379"/>
    </row>
    <row r="551" spans="1:11">
      <c r="A551" s="435"/>
      <c r="B551" s="1032"/>
      <c r="C551" s="443"/>
      <c r="D551" s="433"/>
      <c r="E551" s="434"/>
      <c r="F551" s="434"/>
      <c r="G551" s="434"/>
      <c r="H551" s="1398"/>
      <c r="I551" s="1398"/>
      <c r="J551" s="1378"/>
      <c r="K551" s="1379"/>
    </row>
    <row r="552" spans="1:11">
      <c r="A552" s="188"/>
      <c r="B552" s="931" t="s">
        <v>1249</v>
      </c>
      <c r="C552" s="660"/>
      <c r="D552" s="189"/>
      <c r="E552" s="171"/>
      <c r="F552" s="171"/>
      <c r="G552" s="110"/>
      <c r="H552" s="1398"/>
      <c r="I552" s="1398"/>
      <c r="J552" s="1378"/>
      <c r="K552" s="1379"/>
    </row>
    <row r="553" spans="1:11">
      <c r="A553" s="193"/>
      <c r="B553" s="1031"/>
      <c r="C553" s="442"/>
      <c r="D553" s="190"/>
      <c r="E553" s="174"/>
      <c r="F553" s="174"/>
      <c r="G553" s="174"/>
      <c r="H553" s="1398"/>
      <c r="I553" s="1398"/>
      <c r="J553" s="1378"/>
      <c r="K553" s="1379"/>
    </row>
    <row r="554" spans="1:11" ht="63">
      <c r="A554" s="178">
        <v>1</v>
      </c>
      <c r="B554" s="950" t="s">
        <v>347</v>
      </c>
      <c r="C554" s="889" t="s">
        <v>1248</v>
      </c>
      <c r="D554" s="80" t="s">
        <v>11</v>
      </c>
      <c r="E554" s="81">
        <v>1</v>
      </c>
      <c r="F554" s="807"/>
      <c r="G554" s="88">
        <f>F554*E554</f>
        <v>0</v>
      </c>
      <c r="H554" s="1393"/>
      <c r="I554" s="1393"/>
      <c r="J554" s="1378"/>
      <c r="K554" s="1379"/>
    </row>
    <row r="555" spans="1:11">
      <c r="A555" s="207"/>
      <c r="B555" s="1002"/>
      <c r="C555" s="192"/>
      <c r="D555" s="419"/>
      <c r="E555" s="210"/>
      <c r="F555" s="210"/>
      <c r="G555" s="210"/>
      <c r="H555" s="1391"/>
      <c r="I555" s="1391"/>
      <c r="J555" s="1378"/>
      <c r="K555" s="1379"/>
    </row>
    <row r="556" spans="1:11">
      <c r="A556" s="194"/>
      <c r="B556" s="936" t="s">
        <v>245</v>
      </c>
      <c r="C556" s="96"/>
      <c r="D556" s="195"/>
      <c r="E556" s="197"/>
      <c r="F556" s="197"/>
      <c r="G556" s="99">
        <f>SUM(G554:G555)</f>
        <v>0</v>
      </c>
      <c r="H556" s="1401"/>
      <c r="I556" s="1401"/>
      <c r="J556" s="1378"/>
      <c r="K556" s="1379"/>
    </row>
    <row r="557" spans="1:11">
      <c r="A557" s="444"/>
      <c r="B557" s="1035"/>
      <c r="C557" s="454"/>
      <c r="D557" s="432"/>
      <c r="E557" s="446"/>
      <c r="F557" s="210"/>
      <c r="G557" s="434"/>
      <c r="H557" s="1391"/>
      <c r="I557" s="1391"/>
      <c r="J557" s="1378"/>
      <c r="K557" s="1379"/>
    </row>
    <row r="558" spans="1:11">
      <c r="A558" s="444"/>
      <c r="B558" s="1033"/>
      <c r="C558" s="445"/>
      <c r="D558" s="432"/>
      <c r="E558" s="446"/>
      <c r="F558" s="210"/>
      <c r="G558" s="434"/>
      <c r="H558" s="1391"/>
      <c r="I558" s="1391"/>
      <c r="J558" s="1378"/>
      <c r="K558" s="1379"/>
    </row>
    <row r="559" spans="1:11">
      <c r="A559" s="262"/>
      <c r="B559" s="263" t="s">
        <v>348</v>
      </c>
      <c r="C559" s="263"/>
      <c r="D559" s="447"/>
      <c r="E559" s="447"/>
      <c r="F559" s="447"/>
      <c r="G559" s="447"/>
      <c r="H559" s="1432"/>
      <c r="I559" s="1433"/>
      <c r="J559" s="1378"/>
      <c r="K559" s="1379"/>
    </row>
    <row r="560" spans="1:11">
      <c r="A560" s="351" t="s">
        <v>247</v>
      </c>
      <c r="B560" s="1034" t="s">
        <v>248</v>
      </c>
      <c r="C560" s="448"/>
      <c r="D560" s="131"/>
      <c r="E560" s="153"/>
      <c r="F560" s="88"/>
      <c r="G560" s="88">
        <f>G533</f>
        <v>0</v>
      </c>
      <c r="H560" s="1391"/>
      <c r="I560" s="1391"/>
      <c r="J560" s="1378"/>
      <c r="K560" s="1379"/>
    </row>
    <row r="561" spans="1:245">
      <c r="A561" s="351" t="s">
        <v>249</v>
      </c>
      <c r="B561" s="1034" t="s">
        <v>338</v>
      </c>
      <c r="C561" s="449"/>
      <c r="D561" s="131"/>
      <c r="E561" s="153"/>
      <c r="F561" s="88"/>
      <c r="G561" s="88">
        <f>G542</f>
        <v>0</v>
      </c>
      <c r="H561" s="1391"/>
      <c r="I561" s="1391"/>
      <c r="J561" s="1378"/>
      <c r="K561" s="1379"/>
    </row>
    <row r="562" spans="1:245">
      <c r="A562" s="351" t="s">
        <v>251</v>
      </c>
      <c r="B562" s="1034" t="s">
        <v>252</v>
      </c>
      <c r="C562" s="448"/>
      <c r="D562" s="131"/>
      <c r="E562" s="153"/>
      <c r="F562" s="88"/>
      <c r="G562" s="88">
        <f>G549</f>
        <v>0</v>
      </c>
      <c r="H562" s="1391"/>
      <c r="I562" s="1391"/>
      <c r="J562" s="1378"/>
      <c r="K562" s="1379"/>
    </row>
    <row r="563" spans="1:245">
      <c r="A563" s="351" t="s">
        <v>253</v>
      </c>
      <c r="B563" s="1034" t="s">
        <v>273</v>
      </c>
      <c r="C563" s="448"/>
      <c r="D563" s="131"/>
      <c r="E563" s="153"/>
      <c r="F563" s="88"/>
      <c r="G563" s="88">
        <f>+G556</f>
        <v>0</v>
      </c>
      <c r="H563" s="1391"/>
      <c r="I563" s="1391"/>
      <c r="J563" s="1378"/>
      <c r="K563" s="1379"/>
    </row>
    <row r="564" spans="1:245">
      <c r="A564" s="95"/>
      <c r="B564" s="936" t="s">
        <v>349</v>
      </c>
      <c r="C564" s="96"/>
      <c r="D564" s="155"/>
      <c r="E564" s="98"/>
      <c r="F564" s="98"/>
      <c r="G564" s="99">
        <f>SUM(G560:G563)</f>
        <v>0</v>
      </c>
      <c r="H564" s="1396"/>
      <c r="I564" s="1396"/>
      <c r="J564" s="1378"/>
      <c r="K564" s="1379"/>
    </row>
    <row r="565" spans="1:245">
      <c r="A565" s="421"/>
      <c r="B565" s="1028"/>
      <c r="C565" s="422"/>
      <c r="D565" s="423"/>
      <c r="E565" s="416"/>
      <c r="F565" s="424"/>
      <c r="G565" s="424"/>
      <c r="H565" s="1423"/>
      <c r="I565" s="1423"/>
      <c r="J565" s="1378"/>
      <c r="K565" s="1379"/>
    </row>
    <row r="566" spans="1:245">
      <c r="A566" s="95"/>
      <c r="B566" s="936" t="s">
        <v>901</v>
      </c>
      <c r="C566" s="96"/>
      <c r="D566" s="155"/>
      <c r="E566" s="98"/>
      <c r="F566" s="98"/>
      <c r="G566" s="99">
        <f>+G564*2</f>
        <v>0</v>
      </c>
      <c r="H566" s="1396"/>
      <c r="I566" s="1396"/>
      <c r="J566" s="1378"/>
      <c r="K566" s="1379"/>
    </row>
    <row r="567" spans="1:245">
      <c r="A567" s="4"/>
      <c r="D567" s="4"/>
      <c r="E567" s="4"/>
      <c r="F567" s="4"/>
      <c r="G567" s="4"/>
      <c r="H567" s="1371"/>
      <c r="I567" s="1371"/>
      <c r="J567" s="1378"/>
      <c r="K567" s="1379"/>
    </row>
    <row r="568" spans="1:245">
      <c r="J568" s="1378"/>
      <c r="K568" s="1379"/>
    </row>
    <row r="569" spans="1:245">
      <c r="A569" s="789"/>
      <c r="B569" s="929" t="s">
        <v>352</v>
      </c>
      <c r="C569" s="788"/>
      <c r="D569" s="790"/>
      <c r="E569" s="791"/>
      <c r="F569" s="792"/>
      <c r="G569" s="793"/>
      <c r="H569" s="1415"/>
      <c r="I569" s="1415"/>
      <c r="J569" s="1378"/>
      <c r="K569" s="1379"/>
    </row>
    <row r="570" spans="1:245">
      <c r="A570" s="464"/>
      <c r="B570" s="1036"/>
      <c r="C570" s="465"/>
      <c r="D570" s="466"/>
      <c r="E570" s="255"/>
      <c r="F570" s="255"/>
      <c r="G570" s="467"/>
      <c r="H570" s="1390"/>
      <c r="I570" s="1390"/>
      <c r="J570" s="1378"/>
      <c r="K570" s="1379"/>
    </row>
    <row r="571" spans="1:245" s="771" customFormat="1" ht="30">
      <c r="A571" s="766" t="s">
        <v>891</v>
      </c>
      <c r="B571" s="920" t="s">
        <v>892</v>
      </c>
      <c r="C571" s="768" t="s">
        <v>894</v>
      </c>
      <c r="D571" s="768" t="s">
        <v>1</v>
      </c>
      <c r="E571" s="769" t="s">
        <v>893</v>
      </c>
      <c r="F571" s="769" t="s">
        <v>1234</v>
      </c>
      <c r="G571" s="769" t="s">
        <v>1233</v>
      </c>
      <c r="H571" s="1375"/>
      <c r="I571" s="1376"/>
      <c r="J571" s="1378"/>
      <c r="K571" s="1379"/>
      <c r="L571" s="770"/>
      <c r="M571" s="770"/>
      <c r="N571" s="770"/>
      <c r="O571" s="770"/>
      <c r="P571" s="770"/>
      <c r="Q571" s="770"/>
      <c r="R571" s="770"/>
      <c r="S571" s="770"/>
      <c r="T571" s="770"/>
      <c r="U571" s="770"/>
      <c r="V571" s="770"/>
      <c r="W571" s="770"/>
      <c r="X571" s="770"/>
      <c r="Y571" s="770"/>
      <c r="Z571" s="770"/>
      <c r="AA571" s="770"/>
      <c r="AB571" s="770"/>
      <c r="AC571" s="770"/>
      <c r="AD571" s="770"/>
      <c r="AE571" s="770"/>
      <c r="AF571" s="770"/>
      <c r="AG571" s="770"/>
      <c r="AH571" s="770"/>
      <c r="AI571" s="770"/>
      <c r="AJ571" s="770"/>
      <c r="AK571" s="770"/>
      <c r="AL571" s="770"/>
      <c r="AM571" s="770"/>
      <c r="AN571" s="770"/>
      <c r="AO571" s="770"/>
      <c r="AP571" s="770"/>
      <c r="AQ571" s="770"/>
      <c r="AR571" s="770"/>
      <c r="AS571" s="770"/>
      <c r="AT571" s="770"/>
      <c r="AU571" s="770"/>
      <c r="AV571" s="770"/>
      <c r="AW571" s="770"/>
      <c r="AX571" s="770"/>
      <c r="AY571" s="770"/>
      <c r="AZ571" s="770"/>
      <c r="BA571" s="770"/>
      <c r="BB571" s="770"/>
      <c r="BC571" s="770"/>
      <c r="BD571" s="770"/>
      <c r="BE571" s="770"/>
      <c r="BF571" s="770"/>
      <c r="BG571" s="770"/>
      <c r="BH571" s="770"/>
      <c r="BI571" s="770"/>
      <c r="BJ571" s="770"/>
      <c r="BK571" s="770"/>
      <c r="BL571" s="770"/>
      <c r="BM571" s="770"/>
      <c r="BN571" s="770"/>
      <c r="BO571" s="770"/>
      <c r="BP571" s="770"/>
      <c r="BQ571" s="770"/>
      <c r="BR571" s="770"/>
      <c r="BS571" s="770"/>
      <c r="BT571" s="770"/>
      <c r="BU571" s="770"/>
      <c r="BV571" s="770"/>
      <c r="BW571" s="770"/>
      <c r="BX571" s="770"/>
      <c r="BY571" s="770"/>
      <c r="BZ571" s="770"/>
      <c r="CA571" s="770"/>
      <c r="CB571" s="770"/>
      <c r="CC571" s="770"/>
      <c r="CD571" s="770"/>
      <c r="CE571" s="770"/>
      <c r="CF571" s="770"/>
      <c r="CG571" s="770"/>
      <c r="CH571" s="770"/>
      <c r="CI571" s="770"/>
      <c r="CJ571" s="770"/>
      <c r="CK571" s="770"/>
      <c r="CL571" s="770"/>
      <c r="CM571" s="770"/>
      <c r="CN571" s="770"/>
      <c r="CO571" s="770"/>
      <c r="CP571" s="770"/>
      <c r="CQ571" s="770"/>
      <c r="CR571" s="770"/>
      <c r="CS571" s="770"/>
      <c r="CT571" s="770"/>
      <c r="CU571" s="770"/>
      <c r="CV571" s="770"/>
      <c r="CW571" s="770"/>
      <c r="CX571" s="770"/>
      <c r="CY571" s="770"/>
      <c r="CZ571" s="770"/>
      <c r="DA571" s="770"/>
      <c r="DB571" s="770"/>
      <c r="DC571" s="770"/>
      <c r="DD571" s="770"/>
      <c r="DE571" s="770"/>
      <c r="DF571" s="770"/>
      <c r="DG571" s="770"/>
      <c r="DH571" s="770"/>
      <c r="DI571" s="770"/>
      <c r="DJ571" s="770"/>
      <c r="DK571" s="770"/>
      <c r="DL571" s="770"/>
      <c r="DM571" s="770"/>
      <c r="DN571" s="770"/>
      <c r="DO571" s="770"/>
      <c r="DP571" s="770"/>
      <c r="DQ571" s="770"/>
      <c r="DR571" s="770"/>
      <c r="DS571" s="770"/>
      <c r="DT571" s="770"/>
      <c r="DU571" s="770"/>
      <c r="DV571" s="770"/>
      <c r="DW571" s="770"/>
      <c r="DX571" s="770"/>
      <c r="DY571" s="770"/>
      <c r="DZ571" s="770"/>
      <c r="EA571" s="770"/>
      <c r="EB571" s="770"/>
      <c r="EC571" s="770"/>
      <c r="ED571" s="770"/>
      <c r="EE571" s="770"/>
      <c r="EF571" s="770"/>
      <c r="EG571" s="770"/>
      <c r="EH571" s="770"/>
      <c r="EI571" s="770"/>
      <c r="EJ571" s="770"/>
      <c r="EK571" s="770"/>
      <c r="EL571" s="770"/>
      <c r="EM571" s="770"/>
      <c r="EN571" s="770"/>
      <c r="EO571" s="770"/>
      <c r="EP571" s="770"/>
      <c r="EQ571" s="770"/>
      <c r="ER571" s="770"/>
      <c r="ES571" s="770"/>
      <c r="ET571" s="770"/>
      <c r="EU571" s="770"/>
      <c r="EV571" s="770"/>
      <c r="EW571" s="770"/>
      <c r="EX571" s="770"/>
      <c r="EY571" s="770"/>
      <c r="EZ571" s="770"/>
      <c r="FA571" s="770"/>
      <c r="FB571" s="770"/>
      <c r="FC571" s="770"/>
      <c r="FD571" s="770"/>
      <c r="FE571" s="770"/>
      <c r="FF571" s="770"/>
      <c r="FG571" s="770"/>
      <c r="FH571" s="770"/>
      <c r="FI571" s="770"/>
      <c r="FJ571" s="770"/>
      <c r="FK571" s="770"/>
      <c r="FL571" s="770"/>
      <c r="FM571" s="770"/>
      <c r="FN571" s="770"/>
      <c r="FO571" s="770"/>
      <c r="FP571" s="770"/>
      <c r="FQ571" s="770"/>
      <c r="FR571" s="770"/>
      <c r="FS571" s="770"/>
      <c r="FT571" s="770"/>
      <c r="FU571" s="770"/>
      <c r="FV571" s="770"/>
      <c r="FW571" s="770"/>
      <c r="FX571" s="770"/>
      <c r="FY571" s="770"/>
      <c r="FZ571" s="770"/>
      <c r="GA571" s="770"/>
      <c r="GB571" s="770"/>
      <c r="GC571" s="770"/>
      <c r="GD571" s="770"/>
      <c r="GE571" s="770"/>
      <c r="GF571" s="770"/>
      <c r="GG571" s="770"/>
      <c r="GH571" s="770"/>
      <c r="GI571" s="770"/>
      <c r="GJ571" s="770"/>
      <c r="GK571" s="770"/>
      <c r="GL571" s="770"/>
      <c r="GM571" s="770"/>
      <c r="GN571" s="770"/>
      <c r="GO571" s="770"/>
      <c r="GP571" s="770"/>
      <c r="GQ571" s="770"/>
      <c r="GR571" s="770"/>
      <c r="GS571" s="770"/>
      <c r="GT571" s="770"/>
      <c r="GU571" s="770"/>
      <c r="GV571" s="770"/>
      <c r="GW571" s="770"/>
      <c r="GX571" s="770"/>
      <c r="GY571" s="770"/>
      <c r="GZ571" s="770"/>
      <c r="HA571" s="770"/>
      <c r="HB571" s="770"/>
      <c r="HC571" s="770"/>
      <c r="HD571" s="770"/>
      <c r="HE571" s="770"/>
      <c r="HF571" s="770"/>
      <c r="HG571" s="770"/>
      <c r="HH571" s="770"/>
      <c r="HI571" s="770"/>
      <c r="HJ571" s="770"/>
      <c r="HK571" s="770"/>
      <c r="HL571" s="770"/>
      <c r="HM571" s="770"/>
      <c r="HN571" s="770"/>
      <c r="HO571" s="770"/>
      <c r="HP571" s="770"/>
      <c r="HQ571" s="770"/>
      <c r="HR571" s="770"/>
      <c r="HS571" s="770"/>
      <c r="HT571" s="770"/>
      <c r="HU571" s="770"/>
      <c r="HV571" s="770"/>
      <c r="HW571" s="770"/>
      <c r="HX571" s="770"/>
      <c r="HY571" s="770"/>
      <c r="HZ571" s="770"/>
      <c r="IA571" s="770"/>
      <c r="IB571" s="770"/>
      <c r="IC571" s="770"/>
      <c r="ID571" s="770"/>
      <c r="IE571" s="770"/>
      <c r="IF571" s="770"/>
      <c r="IG571" s="770"/>
      <c r="IH571" s="770"/>
      <c r="II571" s="770"/>
      <c r="IJ571" s="770"/>
      <c r="IK571" s="770"/>
    </row>
    <row r="572" spans="1:245">
      <c r="A572" s="468"/>
      <c r="B572" s="1037"/>
      <c r="C572" s="469"/>
      <c r="D572" s="470"/>
      <c r="E572" s="471"/>
      <c r="F572" s="471"/>
      <c r="G572" s="471"/>
      <c r="H572" s="1398"/>
      <c r="I572" s="1398"/>
      <c r="J572" s="1378"/>
      <c r="K572" s="1379"/>
    </row>
    <row r="573" spans="1:245" ht="128.25" customHeight="1">
      <c r="A573" s="178">
        <v>1</v>
      </c>
      <c r="B573" s="958" t="s">
        <v>353</v>
      </c>
      <c r="C573" s="889" t="s">
        <v>1250</v>
      </c>
      <c r="D573" s="190"/>
      <c r="E573" s="174"/>
      <c r="F573" s="174"/>
      <c r="G573" s="174"/>
      <c r="H573" s="1398"/>
      <c r="I573" s="1398"/>
      <c r="J573" s="1378"/>
      <c r="K573" s="1379"/>
    </row>
    <row r="574" spans="1:245">
      <c r="A574" s="193"/>
      <c r="B574" s="952" t="s">
        <v>354</v>
      </c>
      <c r="C574" s="472"/>
      <c r="D574" s="80" t="s">
        <v>11</v>
      </c>
      <c r="E574" s="89">
        <v>1</v>
      </c>
      <c r="F574" s="807"/>
      <c r="G574" s="88">
        <f>F574*E574</f>
        <v>0</v>
      </c>
      <c r="H574" s="1393"/>
      <c r="I574" s="1393"/>
      <c r="J574" s="1378"/>
      <c r="K574" s="1379"/>
    </row>
    <row r="575" spans="1:245">
      <c r="A575" s="194"/>
      <c r="B575" s="936" t="s">
        <v>355</v>
      </c>
      <c r="C575" s="96"/>
      <c r="D575" s="195"/>
      <c r="E575" s="197"/>
      <c r="F575" s="197"/>
      <c r="G575" s="99">
        <f>SUM(G574:G574)</f>
        <v>0</v>
      </c>
      <c r="H575" s="1401"/>
      <c r="I575" s="1401"/>
      <c r="J575" s="1378"/>
      <c r="K575" s="1379"/>
    </row>
    <row r="576" spans="1:245">
      <c r="A576" s="4"/>
      <c r="D576" s="4"/>
      <c r="E576" s="4"/>
      <c r="F576" s="4"/>
      <c r="G576" s="4"/>
      <c r="H576" s="1371"/>
      <c r="I576" s="1371"/>
      <c r="J576" s="1378"/>
      <c r="K576" s="1379"/>
    </row>
    <row r="577" spans="1:245">
      <c r="J577" s="1378"/>
      <c r="K577" s="1379"/>
    </row>
    <row r="578" spans="1:245">
      <c r="A578" s="789"/>
      <c r="B578" s="929" t="s">
        <v>356</v>
      </c>
      <c r="C578" s="788"/>
      <c r="D578" s="790"/>
      <c r="E578" s="791"/>
      <c r="F578" s="792"/>
      <c r="G578" s="793"/>
      <c r="H578" s="1415"/>
      <c r="I578" s="1415"/>
      <c r="J578" s="1378"/>
      <c r="K578" s="1379"/>
    </row>
    <row r="579" spans="1:245">
      <c r="A579" s="273"/>
      <c r="B579" s="1006"/>
      <c r="C579" s="279"/>
      <c r="D579" s="274"/>
      <c r="E579" s="275"/>
      <c r="F579" s="276"/>
      <c r="G579" s="277"/>
      <c r="H579" s="1416"/>
      <c r="I579" s="1416"/>
      <c r="J579" s="1378"/>
      <c r="K579" s="1379"/>
    </row>
    <row r="580" spans="1:245" s="771" customFormat="1" ht="30">
      <c r="A580" s="766" t="s">
        <v>891</v>
      </c>
      <c r="B580" s="920" t="s">
        <v>892</v>
      </c>
      <c r="C580" s="768" t="s">
        <v>894</v>
      </c>
      <c r="D580" s="768" t="s">
        <v>1</v>
      </c>
      <c r="E580" s="769" t="s">
        <v>893</v>
      </c>
      <c r="F580" s="769" t="s">
        <v>1234</v>
      </c>
      <c r="G580" s="769" t="s">
        <v>1233</v>
      </c>
      <c r="H580" s="1375"/>
      <c r="I580" s="1376"/>
      <c r="J580" s="1378"/>
      <c r="K580" s="1379"/>
      <c r="L580" s="770"/>
      <c r="M580" s="770"/>
      <c r="N580" s="770"/>
      <c r="O580" s="770"/>
      <c r="P580" s="770"/>
      <c r="Q580" s="770"/>
      <c r="R580" s="770"/>
      <c r="S580" s="770"/>
      <c r="T580" s="770"/>
      <c r="U580" s="770"/>
      <c r="V580" s="770"/>
      <c r="W580" s="770"/>
      <c r="X580" s="770"/>
      <c r="Y580" s="770"/>
      <c r="Z580" s="770"/>
      <c r="AA580" s="770"/>
      <c r="AB580" s="770"/>
      <c r="AC580" s="770"/>
      <c r="AD580" s="770"/>
      <c r="AE580" s="770"/>
      <c r="AF580" s="770"/>
      <c r="AG580" s="770"/>
      <c r="AH580" s="770"/>
      <c r="AI580" s="770"/>
      <c r="AJ580" s="770"/>
      <c r="AK580" s="770"/>
      <c r="AL580" s="770"/>
      <c r="AM580" s="770"/>
      <c r="AN580" s="770"/>
      <c r="AO580" s="770"/>
      <c r="AP580" s="770"/>
      <c r="AQ580" s="770"/>
      <c r="AR580" s="770"/>
      <c r="AS580" s="770"/>
      <c r="AT580" s="770"/>
      <c r="AU580" s="770"/>
      <c r="AV580" s="770"/>
      <c r="AW580" s="770"/>
      <c r="AX580" s="770"/>
      <c r="AY580" s="770"/>
      <c r="AZ580" s="770"/>
      <c r="BA580" s="770"/>
      <c r="BB580" s="770"/>
      <c r="BC580" s="770"/>
      <c r="BD580" s="770"/>
      <c r="BE580" s="770"/>
      <c r="BF580" s="770"/>
      <c r="BG580" s="770"/>
      <c r="BH580" s="770"/>
      <c r="BI580" s="770"/>
      <c r="BJ580" s="770"/>
      <c r="BK580" s="770"/>
      <c r="BL580" s="770"/>
      <c r="BM580" s="770"/>
      <c r="BN580" s="770"/>
      <c r="BO580" s="770"/>
      <c r="BP580" s="770"/>
      <c r="BQ580" s="770"/>
      <c r="BR580" s="770"/>
      <c r="BS580" s="770"/>
      <c r="BT580" s="770"/>
      <c r="BU580" s="770"/>
      <c r="BV580" s="770"/>
      <c r="BW580" s="770"/>
      <c r="BX580" s="770"/>
      <c r="BY580" s="770"/>
      <c r="BZ580" s="770"/>
      <c r="CA580" s="770"/>
      <c r="CB580" s="770"/>
      <c r="CC580" s="770"/>
      <c r="CD580" s="770"/>
      <c r="CE580" s="770"/>
      <c r="CF580" s="770"/>
      <c r="CG580" s="770"/>
      <c r="CH580" s="770"/>
      <c r="CI580" s="770"/>
      <c r="CJ580" s="770"/>
      <c r="CK580" s="770"/>
      <c r="CL580" s="770"/>
      <c r="CM580" s="770"/>
      <c r="CN580" s="770"/>
      <c r="CO580" s="770"/>
      <c r="CP580" s="770"/>
      <c r="CQ580" s="770"/>
      <c r="CR580" s="770"/>
      <c r="CS580" s="770"/>
      <c r="CT580" s="770"/>
      <c r="CU580" s="770"/>
      <c r="CV580" s="770"/>
      <c r="CW580" s="770"/>
      <c r="CX580" s="770"/>
      <c r="CY580" s="770"/>
      <c r="CZ580" s="770"/>
      <c r="DA580" s="770"/>
      <c r="DB580" s="770"/>
      <c r="DC580" s="770"/>
      <c r="DD580" s="770"/>
      <c r="DE580" s="770"/>
      <c r="DF580" s="770"/>
      <c r="DG580" s="770"/>
      <c r="DH580" s="770"/>
      <c r="DI580" s="770"/>
      <c r="DJ580" s="770"/>
      <c r="DK580" s="770"/>
      <c r="DL580" s="770"/>
      <c r="DM580" s="770"/>
      <c r="DN580" s="770"/>
      <c r="DO580" s="770"/>
      <c r="DP580" s="770"/>
      <c r="DQ580" s="770"/>
      <c r="DR580" s="770"/>
      <c r="DS580" s="770"/>
      <c r="DT580" s="770"/>
      <c r="DU580" s="770"/>
      <c r="DV580" s="770"/>
      <c r="DW580" s="770"/>
      <c r="DX580" s="770"/>
      <c r="DY580" s="770"/>
      <c r="DZ580" s="770"/>
      <c r="EA580" s="770"/>
      <c r="EB580" s="770"/>
      <c r="EC580" s="770"/>
      <c r="ED580" s="770"/>
      <c r="EE580" s="770"/>
      <c r="EF580" s="770"/>
      <c r="EG580" s="770"/>
      <c r="EH580" s="770"/>
      <c r="EI580" s="770"/>
      <c r="EJ580" s="770"/>
      <c r="EK580" s="770"/>
      <c r="EL580" s="770"/>
      <c r="EM580" s="770"/>
      <c r="EN580" s="770"/>
      <c r="EO580" s="770"/>
      <c r="EP580" s="770"/>
      <c r="EQ580" s="770"/>
      <c r="ER580" s="770"/>
      <c r="ES580" s="770"/>
      <c r="ET580" s="770"/>
      <c r="EU580" s="770"/>
      <c r="EV580" s="770"/>
      <c r="EW580" s="770"/>
      <c r="EX580" s="770"/>
      <c r="EY580" s="770"/>
      <c r="EZ580" s="770"/>
      <c r="FA580" s="770"/>
      <c r="FB580" s="770"/>
      <c r="FC580" s="770"/>
      <c r="FD580" s="770"/>
      <c r="FE580" s="770"/>
      <c r="FF580" s="770"/>
      <c r="FG580" s="770"/>
      <c r="FH580" s="770"/>
      <c r="FI580" s="770"/>
      <c r="FJ580" s="770"/>
      <c r="FK580" s="770"/>
      <c r="FL580" s="770"/>
      <c r="FM580" s="770"/>
      <c r="FN580" s="770"/>
      <c r="FO580" s="770"/>
      <c r="FP580" s="770"/>
      <c r="FQ580" s="770"/>
      <c r="FR580" s="770"/>
      <c r="FS580" s="770"/>
      <c r="FT580" s="770"/>
      <c r="FU580" s="770"/>
      <c r="FV580" s="770"/>
      <c r="FW580" s="770"/>
      <c r="FX580" s="770"/>
      <c r="FY580" s="770"/>
      <c r="FZ580" s="770"/>
      <c r="GA580" s="770"/>
      <c r="GB580" s="770"/>
      <c r="GC580" s="770"/>
      <c r="GD580" s="770"/>
      <c r="GE580" s="770"/>
      <c r="GF580" s="770"/>
      <c r="GG580" s="770"/>
      <c r="GH580" s="770"/>
      <c r="GI580" s="770"/>
      <c r="GJ580" s="770"/>
      <c r="GK580" s="770"/>
      <c r="GL580" s="770"/>
      <c r="GM580" s="770"/>
      <c r="GN580" s="770"/>
      <c r="GO580" s="770"/>
      <c r="GP580" s="770"/>
      <c r="GQ580" s="770"/>
      <c r="GR580" s="770"/>
      <c r="GS580" s="770"/>
      <c r="GT580" s="770"/>
      <c r="GU580" s="770"/>
      <c r="GV580" s="770"/>
      <c r="GW580" s="770"/>
      <c r="GX580" s="770"/>
      <c r="GY580" s="770"/>
      <c r="GZ580" s="770"/>
      <c r="HA580" s="770"/>
      <c r="HB580" s="770"/>
      <c r="HC580" s="770"/>
      <c r="HD580" s="770"/>
      <c r="HE580" s="770"/>
      <c r="HF580" s="770"/>
      <c r="HG580" s="770"/>
      <c r="HH580" s="770"/>
      <c r="HI580" s="770"/>
      <c r="HJ580" s="770"/>
      <c r="HK580" s="770"/>
      <c r="HL580" s="770"/>
      <c r="HM580" s="770"/>
      <c r="HN580" s="770"/>
      <c r="HO580" s="770"/>
      <c r="HP580" s="770"/>
      <c r="HQ580" s="770"/>
      <c r="HR580" s="770"/>
      <c r="HS580" s="770"/>
      <c r="HT580" s="770"/>
      <c r="HU580" s="770"/>
      <c r="HV580" s="770"/>
      <c r="HW580" s="770"/>
      <c r="HX580" s="770"/>
      <c r="HY580" s="770"/>
      <c r="HZ580" s="770"/>
      <c r="IA580" s="770"/>
      <c r="IB580" s="770"/>
      <c r="IC580" s="770"/>
      <c r="ID580" s="770"/>
      <c r="IE580" s="770"/>
      <c r="IF580" s="770"/>
      <c r="IG580" s="770"/>
      <c r="IH580" s="770"/>
      <c r="II580" s="770"/>
      <c r="IJ580" s="770"/>
      <c r="IK580" s="770"/>
    </row>
    <row r="581" spans="1:245">
      <c r="A581" s="405"/>
      <c r="B581" s="1025"/>
      <c r="C581" s="406"/>
      <c r="D581" s="406"/>
      <c r="E581" s="407"/>
      <c r="F581" s="408"/>
      <c r="G581" s="409"/>
      <c r="H581" s="1416"/>
      <c r="I581" s="1416"/>
      <c r="J581" s="1378"/>
      <c r="K581" s="1379"/>
    </row>
    <row r="582" spans="1:245">
      <c r="A582" s="410"/>
      <c r="B582" s="948" t="s">
        <v>276</v>
      </c>
      <c r="C582" s="1189" t="s">
        <v>1272</v>
      </c>
      <c r="D582" s="281"/>
      <c r="E582" s="282"/>
      <c r="F582" s="283"/>
      <c r="G582" s="284"/>
      <c r="H582" s="1417"/>
      <c r="I582" s="1417"/>
      <c r="J582" s="1378"/>
      <c r="K582" s="1379"/>
    </row>
    <row r="583" spans="1:245">
      <c r="A583" s="411"/>
      <c r="B583" s="1026"/>
      <c r="C583" s="413"/>
      <c r="D583" s="414"/>
      <c r="E583" s="415"/>
      <c r="F583" s="416"/>
      <c r="G583" s="416"/>
      <c r="H583" s="1417"/>
      <c r="I583" s="1417"/>
      <c r="J583" s="1378"/>
      <c r="K583" s="1379"/>
    </row>
    <row r="584" spans="1:245" ht="31.5">
      <c r="A584" s="90" t="s">
        <v>60</v>
      </c>
      <c r="B584" s="933" t="s">
        <v>331</v>
      </c>
      <c r="C584" s="889" t="s">
        <v>1251</v>
      </c>
      <c r="D584" s="77" t="s">
        <v>62</v>
      </c>
      <c r="E584" s="89">
        <v>11.99</v>
      </c>
      <c r="F584" s="807"/>
      <c r="G584" s="88">
        <f>F584*E584</f>
        <v>0</v>
      </c>
      <c r="H584" s="1392"/>
      <c r="I584" s="1392"/>
      <c r="J584" s="1378"/>
      <c r="K584" s="1379"/>
    </row>
    <row r="585" spans="1:245">
      <c r="A585" s="417"/>
      <c r="B585" s="1027"/>
      <c r="C585" s="418"/>
      <c r="D585" s="432"/>
      <c r="E585" s="89"/>
      <c r="F585" s="210"/>
      <c r="G585" s="210"/>
      <c r="H585" s="1391"/>
      <c r="I585" s="1391"/>
      <c r="J585" s="1378"/>
      <c r="K585" s="1379"/>
    </row>
    <row r="586" spans="1:245" ht="47.25">
      <c r="A586" s="90" t="s">
        <v>49</v>
      </c>
      <c r="B586" s="933" t="s">
        <v>340</v>
      </c>
      <c r="C586" s="889" t="s">
        <v>1251</v>
      </c>
      <c r="D586" s="77" t="s">
        <v>19</v>
      </c>
      <c r="E586" s="89">
        <v>3.48</v>
      </c>
      <c r="F586" s="807"/>
      <c r="G586" s="88">
        <f>F586*E586</f>
        <v>0</v>
      </c>
      <c r="H586" s="1393"/>
      <c r="I586" s="1393"/>
      <c r="J586" s="1378"/>
      <c r="K586" s="1379"/>
    </row>
    <row r="587" spans="1:245">
      <c r="A587" s="417"/>
      <c r="B587" s="1027"/>
      <c r="C587" s="418"/>
      <c r="D587" s="106"/>
      <c r="E587" s="89"/>
      <c r="F587" s="88"/>
      <c r="G587" s="88"/>
      <c r="H587" s="1391"/>
      <c r="I587" s="1391"/>
      <c r="J587" s="1378"/>
      <c r="K587" s="1379"/>
    </row>
    <row r="588" spans="1:245" ht="63">
      <c r="A588" s="90" t="s">
        <v>52</v>
      </c>
      <c r="B588" s="933" t="s">
        <v>341</v>
      </c>
      <c r="C588" s="889" t="s">
        <v>1251</v>
      </c>
      <c r="D588" s="77" t="s">
        <v>19</v>
      </c>
      <c r="E588" s="89">
        <v>5.62</v>
      </c>
      <c r="F588" s="807"/>
      <c r="G588" s="88">
        <f>F588*E588</f>
        <v>0</v>
      </c>
      <c r="H588" s="1393"/>
      <c r="I588" s="1393"/>
      <c r="J588" s="1378"/>
      <c r="K588" s="1379"/>
    </row>
    <row r="589" spans="1:245">
      <c r="A589" s="417"/>
      <c r="B589" s="1027"/>
      <c r="C589" s="418"/>
      <c r="D589" s="86"/>
      <c r="E589" s="89"/>
      <c r="F589" s="86"/>
      <c r="G589" s="86"/>
      <c r="H589" s="1421"/>
      <c r="I589" s="1421"/>
      <c r="J589" s="1378"/>
      <c r="K589" s="1379"/>
    </row>
    <row r="590" spans="1:245" ht="78.75">
      <c r="A590" s="90" t="s">
        <v>56</v>
      </c>
      <c r="B590" s="933" t="s">
        <v>357</v>
      </c>
      <c r="C590" s="889" t="s">
        <v>1251</v>
      </c>
      <c r="D590" s="106"/>
      <c r="E590" s="89"/>
      <c r="F590" s="88"/>
      <c r="G590" s="88"/>
      <c r="H590" s="1391"/>
      <c r="I590" s="1391"/>
      <c r="J590" s="1378"/>
      <c r="K590" s="1379"/>
    </row>
    <row r="591" spans="1:245" ht="31.5">
      <c r="A591" s="92"/>
      <c r="B591" s="933" t="s">
        <v>358</v>
      </c>
      <c r="C591" s="74"/>
      <c r="D591" s="77" t="s">
        <v>19</v>
      </c>
      <c r="E591" s="89">
        <f>+(1.6*5.5)*0.65</f>
        <v>5.7200000000000006</v>
      </c>
      <c r="F591" s="807"/>
      <c r="G591" s="88">
        <f>F591*E591</f>
        <v>0</v>
      </c>
      <c r="H591" s="1393"/>
      <c r="I591" s="1393"/>
      <c r="J591" s="1378"/>
      <c r="K591" s="1379"/>
    </row>
    <row r="592" spans="1:245">
      <c r="A592" s="436"/>
      <c r="B592" s="976" t="s">
        <v>58</v>
      </c>
      <c r="C592" s="297"/>
      <c r="D592" s="437"/>
      <c r="E592" s="438"/>
      <c r="F592" s="439"/>
      <c r="G592" s="301">
        <f>SUM(G584:G591)</f>
        <v>0</v>
      </c>
      <c r="H592" s="1422"/>
      <c r="I592" s="1422"/>
      <c r="J592" s="1378"/>
      <c r="K592" s="1379"/>
    </row>
    <row r="593" spans="1:11">
      <c r="A593" s="421"/>
      <c r="B593" s="1028"/>
      <c r="C593" s="422"/>
      <c r="D593" s="423"/>
      <c r="E593" s="416"/>
      <c r="F593" s="424"/>
      <c r="G593" s="424"/>
      <c r="H593" s="1423"/>
      <c r="I593" s="1423"/>
      <c r="J593" s="1378"/>
      <c r="K593" s="1379"/>
    </row>
    <row r="594" spans="1:11" ht="47.25">
      <c r="A594" s="280"/>
      <c r="B594" s="948" t="s">
        <v>59</v>
      </c>
      <c r="C594" s="1188" t="s">
        <v>1244</v>
      </c>
      <c r="D594" s="450"/>
      <c r="E594" s="389"/>
      <c r="F594" s="390"/>
      <c r="G594" s="353"/>
      <c r="H594" s="1407"/>
      <c r="I594" s="1407"/>
      <c r="J594" s="1378"/>
      <c r="K594" s="1379"/>
    </row>
    <row r="595" spans="1:11">
      <c r="A595" s="425"/>
      <c r="B595" s="1029"/>
      <c r="C595" s="426"/>
      <c r="D595" s="427"/>
      <c r="E595" s="428"/>
      <c r="F595" s="429"/>
      <c r="G595" s="429"/>
      <c r="H595" s="1407"/>
      <c r="I595" s="1407"/>
      <c r="J595" s="1378"/>
      <c r="K595" s="1379"/>
    </row>
    <row r="596" spans="1:11" ht="110.25">
      <c r="A596" s="237">
        <v>1</v>
      </c>
      <c r="B596" s="933" t="s">
        <v>359</v>
      </c>
      <c r="C596" s="889" t="s">
        <v>1251</v>
      </c>
      <c r="D596" s="77" t="s">
        <v>282</v>
      </c>
      <c r="E596" s="89">
        <v>13.17</v>
      </c>
      <c r="F596" s="807"/>
      <c r="G596" s="88">
        <f>F596*E596</f>
        <v>0</v>
      </c>
      <c r="H596" s="1393"/>
      <c r="I596" s="1393"/>
      <c r="J596" s="1378"/>
      <c r="K596" s="1379"/>
    </row>
    <row r="597" spans="1:11">
      <c r="A597" s="430"/>
      <c r="B597" s="1030"/>
      <c r="C597" s="431"/>
      <c r="D597" s="419"/>
      <c r="E597" s="89"/>
      <c r="F597" s="210"/>
      <c r="G597" s="210"/>
      <c r="H597" s="1391"/>
      <c r="I597" s="1391"/>
      <c r="J597" s="1378"/>
      <c r="K597" s="1379"/>
    </row>
    <row r="598" spans="1:11" ht="63">
      <c r="A598" s="351">
        <v>2</v>
      </c>
      <c r="B598" s="933" t="s">
        <v>360</v>
      </c>
      <c r="C598" s="889" t="s">
        <v>1251</v>
      </c>
      <c r="D598" s="77" t="s">
        <v>19</v>
      </c>
      <c r="E598" s="89">
        <v>0.71</v>
      </c>
      <c r="F598" s="807"/>
      <c r="G598" s="88">
        <f>F598*E598</f>
        <v>0</v>
      </c>
      <c r="H598" s="1393"/>
      <c r="I598" s="1393"/>
      <c r="J598" s="1378"/>
      <c r="K598" s="1379"/>
    </row>
    <row r="599" spans="1:11">
      <c r="A599" s="430"/>
      <c r="B599" s="1030"/>
      <c r="C599" s="431"/>
      <c r="D599" s="432"/>
      <c r="E599" s="89"/>
      <c r="F599" s="210"/>
      <c r="G599" s="210"/>
      <c r="H599" s="1391"/>
      <c r="I599" s="1391"/>
      <c r="J599" s="1378"/>
      <c r="K599" s="1379"/>
    </row>
    <row r="600" spans="1:11" ht="63">
      <c r="A600" s="351">
        <v>3</v>
      </c>
      <c r="B600" s="933" t="s">
        <v>361</v>
      </c>
      <c r="C600" s="889" t="s">
        <v>1251</v>
      </c>
      <c r="D600" s="77" t="s">
        <v>19</v>
      </c>
      <c r="E600" s="89">
        <f>2*(6+1.6)*0.25*0.9</f>
        <v>3.42</v>
      </c>
      <c r="F600" s="807"/>
      <c r="G600" s="88">
        <f>F600*E600</f>
        <v>0</v>
      </c>
      <c r="H600" s="1393"/>
      <c r="I600" s="1393"/>
      <c r="J600" s="1378"/>
      <c r="K600" s="1379"/>
    </row>
    <row r="601" spans="1:11">
      <c r="A601" s="436"/>
      <c r="B601" s="936" t="s">
        <v>335</v>
      </c>
      <c r="C601" s="96"/>
      <c r="D601" s="437"/>
      <c r="E601" s="438"/>
      <c r="F601" s="439"/>
      <c r="G601" s="301">
        <f>SUM(G596:G600)</f>
        <v>0</v>
      </c>
      <c r="H601" s="1422"/>
      <c r="I601" s="1422"/>
      <c r="J601" s="1378"/>
      <c r="K601" s="1379"/>
    </row>
    <row r="602" spans="1:11">
      <c r="A602" s="421"/>
      <c r="B602" s="1028"/>
      <c r="C602" s="422"/>
      <c r="D602" s="423"/>
      <c r="E602" s="416"/>
      <c r="F602" s="424"/>
      <c r="G602" s="424"/>
      <c r="H602" s="1423"/>
      <c r="I602" s="1423"/>
      <c r="J602" s="1378"/>
      <c r="K602" s="1379"/>
    </row>
    <row r="603" spans="1:11">
      <c r="A603" s="451"/>
      <c r="B603" s="938" t="s">
        <v>81</v>
      </c>
      <c r="C603" s="1188" t="s">
        <v>1244</v>
      </c>
      <c r="D603" s="452"/>
      <c r="E603" s="282"/>
      <c r="F603" s="390"/>
      <c r="G603" s="453"/>
      <c r="H603" s="1407"/>
      <c r="I603" s="1407"/>
      <c r="J603" s="1378"/>
      <c r="K603" s="1379"/>
    </row>
    <row r="604" spans="1:11">
      <c r="A604" s="349"/>
      <c r="B604" s="1007"/>
      <c r="C604" s="286"/>
      <c r="D604" s="317"/>
      <c r="E604" s="293"/>
      <c r="F604" s="294"/>
      <c r="G604" s="294"/>
      <c r="H604" s="1407"/>
      <c r="I604" s="1407"/>
      <c r="J604" s="1378"/>
      <c r="K604" s="1379"/>
    </row>
    <row r="605" spans="1:11" ht="63">
      <c r="A605" s="90" t="s">
        <v>60</v>
      </c>
      <c r="B605" s="933" t="s">
        <v>284</v>
      </c>
      <c r="C605" s="889" t="s">
        <v>1251</v>
      </c>
      <c r="D605" s="440"/>
      <c r="E605" s="441"/>
      <c r="F605" s="82"/>
      <c r="G605" s="64"/>
      <c r="H605" s="1391"/>
      <c r="I605" s="1391"/>
      <c r="J605" s="1378"/>
      <c r="K605" s="1379"/>
    </row>
    <row r="606" spans="1:11">
      <c r="A606" s="92"/>
      <c r="B606" s="933" t="s">
        <v>336</v>
      </c>
      <c r="C606" s="74"/>
      <c r="D606" s="440"/>
      <c r="E606" s="441"/>
      <c r="F606" s="82"/>
      <c r="G606" s="64"/>
      <c r="H606" s="1391"/>
      <c r="I606" s="1391"/>
      <c r="J606" s="1378"/>
      <c r="K606" s="1379"/>
    </row>
    <row r="607" spans="1:11">
      <c r="A607" s="92"/>
      <c r="B607" s="933" t="s">
        <v>337</v>
      </c>
      <c r="C607" s="74"/>
      <c r="D607" s="77" t="s">
        <v>83</v>
      </c>
      <c r="E607" s="295">
        <f>+(1.89+3.42)*130</f>
        <v>690.3</v>
      </c>
      <c r="F607" s="807"/>
      <c r="G607" s="88">
        <f>F607*E607</f>
        <v>0</v>
      </c>
      <c r="H607" s="1393"/>
      <c r="I607" s="1393"/>
      <c r="J607" s="1378"/>
      <c r="K607" s="1379"/>
    </row>
    <row r="608" spans="1:11">
      <c r="A608" s="396"/>
      <c r="B608" s="936" t="s">
        <v>84</v>
      </c>
      <c r="C608" s="96"/>
      <c r="D608" s="343"/>
      <c r="E608" s="397"/>
      <c r="F608" s="345"/>
      <c r="G608" s="301">
        <f>SUM(G607:G607)</f>
        <v>0</v>
      </c>
      <c r="H608" s="1425"/>
      <c r="I608" s="1425"/>
      <c r="J608" s="1378"/>
      <c r="K608" s="1379"/>
    </row>
    <row r="609" spans="1:245">
      <c r="A609" s="405"/>
      <c r="B609" s="1025"/>
      <c r="C609" s="406"/>
      <c r="D609" s="406"/>
      <c r="E609" s="407"/>
      <c r="F609" s="408"/>
      <c r="G609" s="409"/>
      <c r="H609" s="1416"/>
      <c r="I609" s="1416"/>
      <c r="J609" s="1378"/>
      <c r="K609" s="1379"/>
    </row>
    <row r="610" spans="1:245">
      <c r="A610" s="188"/>
      <c r="B610" s="931" t="s">
        <v>1249</v>
      </c>
      <c r="C610" s="660"/>
      <c r="D610" s="189"/>
      <c r="E610" s="171"/>
      <c r="F610" s="171"/>
      <c r="G610" s="110"/>
      <c r="H610" s="1398"/>
      <c r="I610" s="1398"/>
      <c r="J610" s="1378"/>
      <c r="K610" s="1379"/>
    </row>
    <row r="611" spans="1:245" ht="110.25">
      <c r="A611" s="178">
        <v>1</v>
      </c>
      <c r="B611" s="1038" t="s">
        <v>362</v>
      </c>
      <c r="C611" s="889" t="s">
        <v>1251</v>
      </c>
      <c r="D611" s="93" t="s">
        <v>363</v>
      </c>
      <c r="E611" s="81">
        <v>1</v>
      </c>
      <c r="F611" s="807"/>
      <c r="G611" s="88">
        <f>F611*E611</f>
        <v>0</v>
      </c>
      <c r="H611" s="1393"/>
      <c r="I611" s="1393"/>
      <c r="J611" s="1378"/>
      <c r="K611" s="1379"/>
    </row>
    <row r="612" spans="1:245">
      <c r="A612" s="194"/>
      <c r="B612" s="936" t="s">
        <v>245</v>
      </c>
      <c r="C612" s="96"/>
      <c r="D612" s="195"/>
      <c r="E612" s="197"/>
      <c r="F612" s="197"/>
      <c r="G612" s="99">
        <f>SUM(G611:G611)</f>
        <v>0</v>
      </c>
      <c r="H612" s="1401"/>
      <c r="I612" s="1401"/>
      <c r="J612" s="1378"/>
      <c r="K612" s="1379"/>
    </row>
    <row r="613" spans="1:245">
      <c r="A613" s="237"/>
      <c r="B613" s="930"/>
      <c r="C613" s="100"/>
      <c r="D613" s="131"/>
      <c r="E613" s="153"/>
      <c r="F613" s="88"/>
      <c r="G613" s="174"/>
      <c r="H613" s="1391"/>
      <c r="I613" s="1391"/>
      <c r="J613" s="1378"/>
      <c r="K613" s="1379"/>
    </row>
    <row r="614" spans="1:245">
      <c r="A614" s="262"/>
      <c r="B614" s="263" t="s">
        <v>364</v>
      </c>
      <c r="C614" s="263"/>
      <c r="D614" s="447"/>
      <c r="E614" s="447"/>
      <c r="F614" s="447"/>
      <c r="G614" s="447"/>
      <c r="H614" s="1432"/>
      <c r="I614" s="1433"/>
      <c r="J614" s="1378"/>
      <c r="K614" s="1379"/>
    </row>
    <row r="615" spans="1:245">
      <c r="A615" s="351" t="s">
        <v>247</v>
      </c>
      <c r="B615" s="1034" t="s">
        <v>248</v>
      </c>
      <c r="C615" s="448"/>
      <c r="D615" s="131"/>
      <c r="E615" s="153"/>
      <c r="F615" s="88"/>
      <c r="G615" s="88">
        <f>G592</f>
        <v>0</v>
      </c>
      <c r="H615" s="1391"/>
      <c r="I615" s="1391"/>
      <c r="J615" s="1378"/>
      <c r="K615" s="1379"/>
    </row>
    <row r="616" spans="1:245">
      <c r="A616" s="351" t="s">
        <v>249</v>
      </c>
      <c r="B616" s="1034" t="s">
        <v>338</v>
      </c>
      <c r="C616" s="449"/>
      <c r="D616" s="131"/>
      <c r="E616" s="153"/>
      <c r="F616" s="88"/>
      <c r="G616" s="88">
        <f>G601</f>
        <v>0</v>
      </c>
      <c r="H616" s="1391"/>
      <c r="I616" s="1391"/>
      <c r="J616" s="1378"/>
      <c r="K616" s="1379"/>
    </row>
    <row r="617" spans="1:245">
      <c r="A617" s="351" t="s">
        <v>251</v>
      </c>
      <c r="B617" s="1034" t="s">
        <v>252</v>
      </c>
      <c r="C617" s="448"/>
      <c r="D617" s="131"/>
      <c r="E617" s="153"/>
      <c r="F617" s="88"/>
      <c r="G617" s="88">
        <f>G608</f>
        <v>0</v>
      </c>
      <c r="H617" s="1391"/>
      <c r="I617" s="1391"/>
      <c r="J617" s="1378"/>
      <c r="K617" s="1379"/>
    </row>
    <row r="618" spans="1:245">
      <c r="A618" s="351" t="s">
        <v>253</v>
      </c>
      <c r="B618" s="1034" t="s">
        <v>273</v>
      </c>
      <c r="C618" s="448"/>
      <c r="D618" s="131"/>
      <c r="E618" s="153"/>
      <c r="F618" s="88"/>
      <c r="G618" s="88">
        <f>+G612</f>
        <v>0</v>
      </c>
      <c r="H618" s="1391"/>
      <c r="I618" s="1391"/>
      <c r="J618" s="1378"/>
      <c r="K618" s="1379"/>
    </row>
    <row r="619" spans="1:245">
      <c r="A619" s="95"/>
      <c r="B619" s="936" t="s">
        <v>365</v>
      </c>
      <c r="C619" s="96"/>
      <c r="D619" s="155"/>
      <c r="E619" s="98"/>
      <c r="F619" s="98"/>
      <c r="G619" s="99">
        <f>SUM(G615:G618)</f>
        <v>0</v>
      </c>
      <c r="H619" s="1396"/>
      <c r="I619" s="1396"/>
      <c r="J619" s="1378"/>
      <c r="K619" s="1379"/>
    </row>
    <row r="620" spans="1:245">
      <c r="J620" s="1378"/>
      <c r="K620" s="1379"/>
    </row>
    <row r="621" spans="1:245">
      <c r="J621" s="1378"/>
      <c r="K621" s="1379"/>
    </row>
    <row r="622" spans="1:245">
      <c r="A622" s="789"/>
      <c r="B622" s="929" t="s">
        <v>366</v>
      </c>
      <c r="C622" s="788"/>
      <c r="D622" s="790"/>
      <c r="E622" s="791"/>
      <c r="F622" s="792"/>
      <c r="G622" s="793"/>
      <c r="H622" s="1415"/>
      <c r="I622" s="1415"/>
      <c r="J622" s="1378"/>
      <c r="K622" s="1379"/>
    </row>
    <row r="623" spans="1:245">
      <c r="A623" s="273"/>
      <c r="B623" s="1006"/>
      <c r="C623" s="279"/>
      <c r="D623" s="274"/>
      <c r="E623" s="275"/>
      <c r="F623" s="276"/>
      <c r="G623" s="277"/>
      <c r="H623" s="1416"/>
      <c r="I623" s="1416"/>
      <c r="J623" s="1378"/>
      <c r="K623" s="1379"/>
    </row>
    <row r="624" spans="1:245" s="771" customFormat="1" ht="30">
      <c r="A624" s="766" t="s">
        <v>891</v>
      </c>
      <c r="B624" s="920" t="s">
        <v>892</v>
      </c>
      <c r="C624" s="768" t="s">
        <v>894</v>
      </c>
      <c r="D624" s="768" t="s">
        <v>1</v>
      </c>
      <c r="E624" s="769" t="s">
        <v>893</v>
      </c>
      <c r="F624" s="769" t="s">
        <v>1234</v>
      </c>
      <c r="G624" s="769" t="s">
        <v>1233</v>
      </c>
      <c r="H624" s="1375"/>
      <c r="I624" s="1376"/>
      <c r="J624" s="1378"/>
      <c r="K624" s="1379"/>
      <c r="L624" s="770"/>
      <c r="M624" s="770"/>
      <c r="N624" s="770"/>
      <c r="O624" s="770"/>
      <c r="P624" s="770"/>
      <c r="Q624" s="770"/>
      <c r="R624" s="770"/>
      <c r="S624" s="770"/>
      <c r="T624" s="770"/>
      <c r="U624" s="770"/>
      <c r="V624" s="770"/>
      <c r="W624" s="770"/>
      <c r="X624" s="770"/>
      <c r="Y624" s="770"/>
      <c r="Z624" s="770"/>
      <c r="AA624" s="770"/>
      <c r="AB624" s="770"/>
      <c r="AC624" s="770"/>
      <c r="AD624" s="770"/>
      <c r="AE624" s="770"/>
      <c r="AF624" s="770"/>
      <c r="AG624" s="770"/>
      <c r="AH624" s="770"/>
      <c r="AI624" s="770"/>
      <c r="AJ624" s="770"/>
      <c r="AK624" s="770"/>
      <c r="AL624" s="770"/>
      <c r="AM624" s="770"/>
      <c r="AN624" s="770"/>
      <c r="AO624" s="770"/>
      <c r="AP624" s="770"/>
      <c r="AQ624" s="770"/>
      <c r="AR624" s="770"/>
      <c r="AS624" s="770"/>
      <c r="AT624" s="770"/>
      <c r="AU624" s="770"/>
      <c r="AV624" s="770"/>
      <c r="AW624" s="770"/>
      <c r="AX624" s="770"/>
      <c r="AY624" s="770"/>
      <c r="AZ624" s="770"/>
      <c r="BA624" s="770"/>
      <c r="BB624" s="770"/>
      <c r="BC624" s="770"/>
      <c r="BD624" s="770"/>
      <c r="BE624" s="770"/>
      <c r="BF624" s="770"/>
      <c r="BG624" s="770"/>
      <c r="BH624" s="770"/>
      <c r="BI624" s="770"/>
      <c r="BJ624" s="770"/>
      <c r="BK624" s="770"/>
      <c r="BL624" s="770"/>
      <c r="BM624" s="770"/>
      <c r="BN624" s="770"/>
      <c r="BO624" s="770"/>
      <c r="BP624" s="770"/>
      <c r="BQ624" s="770"/>
      <c r="BR624" s="770"/>
      <c r="BS624" s="770"/>
      <c r="BT624" s="770"/>
      <c r="BU624" s="770"/>
      <c r="BV624" s="770"/>
      <c r="BW624" s="770"/>
      <c r="BX624" s="770"/>
      <c r="BY624" s="770"/>
      <c r="BZ624" s="770"/>
      <c r="CA624" s="770"/>
      <c r="CB624" s="770"/>
      <c r="CC624" s="770"/>
      <c r="CD624" s="770"/>
      <c r="CE624" s="770"/>
      <c r="CF624" s="770"/>
      <c r="CG624" s="770"/>
      <c r="CH624" s="770"/>
      <c r="CI624" s="770"/>
      <c r="CJ624" s="770"/>
      <c r="CK624" s="770"/>
      <c r="CL624" s="770"/>
      <c r="CM624" s="770"/>
      <c r="CN624" s="770"/>
      <c r="CO624" s="770"/>
      <c r="CP624" s="770"/>
      <c r="CQ624" s="770"/>
      <c r="CR624" s="770"/>
      <c r="CS624" s="770"/>
      <c r="CT624" s="770"/>
      <c r="CU624" s="770"/>
      <c r="CV624" s="770"/>
      <c r="CW624" s="770"/>
      <c r="CX624" s="770"/>
      <c r="CY624" s="770"/>
      <c r="CZ624" s="770"/>
      <c r="DA624" s="770"/>
      <c r="DB624" s="770"/>
      <c r="DC624" s="770"/>
      <c r="DD624" s="770"/>
      <c r="DE624" s="770"/>
      <c r="DF624" s="770"/>
      <c r="DG624" s="770"/>
      <c r="DH624" s="770"/>
      <c r="DI624" s="770"/>
      <c r="DJ624" s="770"/>
      <c r="DK624" s="770"/>
      <c r="DL624" s="770"/>
      <c r="DM624" s="770"/>
      <c r="DN624" s="770"/>
      <c r="DO624" s="770"/>
      <c r="DP624" s="770"/>
      <c r="DQ624" s="770"/>
      <c r="DR624" s="770"/>
      <c r="DS624" s="770"/>
      <c r="DT624" s="770"/>
      <c r="DU624" s="770"/>
      <c r="DV624" s="770"/>
      <c r="DW624" s="770"/>
      <c r="DX624" s="770"/>
      <c r="DY624" s="770"/>
      <c r="DZ624" s="770"/>
      <c r="EA624" s="770"/>
      <c r="EB624" s="770"/>
      <c r="EC624" s="770"/>
      <c r="ED624" s="770"/>
      <c r="EE624" s="770"/>
      <c r="EF624" s="770"/>
      <c r="EG624" s="770"/>
      <c r="EH624" s="770"/>
      <c r="EI624" s="770"/>
      <c r="EJ624" s="770"/>
      <c r="EK624" s="770"/>
      <c r="EL624" s="770"/>
      <c r="EM624" s="770"/>
      <c r="EN624" s="770"/>
      <c r="EO624" s="770"/>
      <c r="EP624" s="770"/>
      <c r="EQ624" s="770"/>
      <c r="ER624" s="770"/>
      <c r="ES624" s="770"/>
      <c r="ET624" s="770"/>
      <c r="EU624" s="770"/>
      <c r="EV624" s="770"/>
      <c r="EW624" s="770"/>
      <c r="EX624" s="770"/>
      <c r="EY624" s="770"/>
      <c r="EZ624" s="770"/>
      <c r="FA624" s="770"/>
      <c r="FB624" s="770"/>
      <c r="FC624" s="770"/>
      <c r="FD624" s="770"/>
      <c r="FE624" s="770"/>
      <c r="FF624" s="770"/>
      <c r="FG624" s="770"/>
      <c r="FH624" s="770"/>
      <c r="FI624" s="770"/>
      <c r="FJ624" s="770"/>
      <c r="FK624" s="770"/>
      <c r="FL624" s="770"/>
      <c r="FM624" s="770"/>
      <c r="FN624" s="770"/>
      <c r="FO624" s="770"/>
      <c r="FP624" s="770"/>
      <c r="FQ624" s="770"/>
      <c r="FR624" s="770"/>
      <c r="FS624" s="770"/>
      <c r="FT624" s="770"/>
      <c r="FU624" s="770"/>
      <c r="FV624" s="770"/>
      <c r="FW624" s="770"/>
      <c r="FX624" s="770"/>
      <c r="FY624" s="770"/>
      <c r="FZ624" s="770"/>
      <c r="GA624" s="770"/>
      <c r="GB624" s="770"/>
      <c r="GC624" s="770"/>
      <c r="GD624" s="770"/>
      <c r="GE624" s="770"/>
      <c r="GF624" s="770"/>
      <c r="GG624" s="770"/>
      <c r="GH624" s="770"/>
      <c r="GI624" s="770"/>
      <c r="GJ624" s="770"/>
      <c r="GK624" s="770"/>
      <c r="GL624" s="770"/>
      <c r="GM624" s="770"/>
      <c r="GN624" s="770"/>
      <c r="GO624" s="770"/>
      <c r="GP624" s="770"/>
      <c r="GQ624" s="770"/>
      <c r="GR624" s="770"/>
      <c r="GS624" s="770"/>
      <c r="GT624" s="770"/>
      <c r="GU624" s="770"/>
      <c r="GV624" s="770"/>
      <c r="GW624" s="770"/>
      <c r="GX624" s="770"/>
      <c r="GY624" s="770"/>
      <c r="GZ624" s="770"/>
      <c r="HA624" s="770"/>
      <c r="HB624" s="770"/>
      <c r="HC624" s="770"/>
      <c r="HD624" s="770"/>
      <c r="HE624" s="770"/>
      <c r="HF624" s="770"/>
      <c r="HG624" s="770"/>
      <c r="HH624" s="770"/>
      <c r="HI624" s="770"/>
      <c r="HJ624" s="770"/>
      <c r="HK624" s="770"/>
      <c r="HL624" s="770"/>
      <c r="HM624" s="770"/>
      <c r="HN624" s="770"/>
      <c r="HO624" s="770"/>
      <c r="HP624" s="770"/>
      <c r="HQ624" s="770"/>
      <c r="HR624" s="770"/>
      <c r="HS624" s="770"/>
      <c r="HT624" s="770"/>
      <c r="HU624" s="770"/>
      <c r="HV624" s="770"/>
      <c r="HW624" s="770"/>
      <c r="HX624" s="770"/>
      <c r="HY624" s="770"/>
      <c r="HZ624" s="770"/>
      <c r="IA624" s="770"/>
      <c r="IB624" s="770"/>
      <c r="IC624" s="770"/>
      <c r="ID624" s="770"/>
      <c r="IE624" s="770"/>
      <c r="IF624" s="770"/>
      <c r="IG624" s="770"/>
      <c r="IH624" s="770"/>
      <c r="II624" s="770"/>
      <c r="IJ624" s="770"/>
      <c r="IK624" s="770"/>
    </row>
    <row r="625" spans="1:11">
      <c r="A625" s="405"/>
      <c r="B625" s="1025"/>
      <c r="C625" s="406"/>
      <c r="D625" s="406"/>
      <c r="E625" s="407"/>
      <c r="F625" s="408"/>
      <c r="G625" s="409"/>
      <c r="H625" s="1416"/>
      <c r="I625" s="1416"/>
      <c r="J625" s="1378"/>
      <c r="K625" s="1379"/>
    </row>
    <row r="626" spans="1:11">
      <c r="A626" s="280"/>
      <c r="B626" s="948" t="s">
        <v>841</v>
      </c>
      <c r="C626" s="1190" t="s">
        <v>1272</v>
      </c>
      <c r="D626" s="281"/>
      <c r="E626" s="282"/>
      <c r="F626" s="283"/>
      <c r="G626" s="284"/>
      <c r="H626" s="1417"/>
      <c r="I626" s="1417"/>
      <c r="J626" s="1378"/>
      <c r="K626" s="1379"/>
    </row>
    <row r="627" spans="1:11">
      <c r="A627" s="474"/>
      <c r="B627" s="1040"/>
      <c r="C627" s="412"/>
      <c r="D627" s="337"/>
      <c r="E627" s="338"/>
      <c r="F627" s="341"/>
      <c r="G627" s="341"/>
      <c r="H627" s="1417"/>
      <c r="I627" s="1417"/>
      <c r="J627" s="1378"/>
      <c r="K627" s="1379"/>
    </row>
    <row r="628" spans="1:11" ht="31.5">
      <c r="A628" s="90" t="s">
        <v>60</v>
      </c>
      <c r="B628" s="933" t="s">
        <v>331</v>
      </c>
      <c r="C628" s="889" t="s">
        <v>1252</v>
      </c>
      <c r="D628" s="291" t="s">
        <v>62</v>
      </c>
      <c r="E628" s="81">
        <f>+(0.6+3+0.6)*(0.6+2.4+0.6)</f>
        <v>15.120000000000001</v>
      </c>
      <c r="F628" s="807"/>
      <c r="G628" s="88">
        <f>F628*E628</f>
        <v>0</v>
      </c>
      <c r="H628" s="1392"/>
      <c r="I628" s="1392"/>
      <c r="J628" s="1378"/>
      <c r="K628" s="1379"/>
    </row>
    <row r="629" spans="1:11">
      <c r="A629" s="92"/>
      <c r="B629" s="934"/>
      <c r="C629" s="79"/>
      <c r="D629" s="432"/>
      <c r="E629" s="81"/>
      <c r="F629" s="210"/>
      <c r="G629" s="210"/>
      <c r="H629" s="1391"/>
      <c r="I629" s="1391"/>
      <c r="J629" s="1378"/>
      <c r="K629" s="1379"/>
    </row>
    <row r="630" spans="1:11" ht="47.25">
      <c r="A630" s="90" t="s">
        <v>63</v>
      </c>
      <c r="B630" s="933" t="s">
        <v>367</v>
      </c>
      <c r="C630" s="889" t="s">
        <v>1252</v>
      </c>
      <c r="D630" s="106" t="s">
        <v>334</v>
      </c>
      <c r="E630" s="81">
        <f>+((3.6*3)+(5.1*4.5))/2*0.75</f>
        <v>12.65625</v>
      </c>
      <c r="F630" s="807"/>
      <c r="G630" s="88">
        <f>F630*E630</f>
        <v>0</v>
      </c>
      <c r="H630" s="1393"/>
      <c r="I630" s="1393"/>
      <c r="J630" s="1378"/>
      <c r="K630" s="1379"/>
    </row>
    <row r="631" spans="1:11">
      <c r="A631" s="92"/>
      <c r="B631" s="934"/>
      <c r="C631" s="79"/>
      <c r="D631" s="106"/>
      <c r="E631" s="81"/>
      <c r="F631" s="88"/>
      <c r="G631" s="88"/>
      <c r="H631" s="1391"/>
      <c r="I631" s="1391"/>
      <c r="J631" s="1378"/>
      <c r="K631" s="1379"/>
    </row>
    <row r="632" spans="1:11" ht="63">
      <c r="A632" s="90" t="s">
        <v>65</v>
      </c>
      <c r="B632" s="933" t="s">
        <v>341</v>
      </c>
      <c r="C632" s="889" t="s">
        <v>1252</v>
      </c>
      <c r="D632" s="106" t="s">
        <v>334</v>
      </c>
      <c r="E632" s="81">
        <v>4.51</v>
      </c>
      <c r="F632" s="807"/>
      <c r="G632" s="88">
        <f>F632*E632</f>
        <v>0</v>
      </c>
      <c r="H632" s="1393"/>
      <c r="I632" s="1393"/>
      <c r="J632" s="1378"/>
      <c r="K632" s="1379"/>
    </row>
    <row r="633" spans="1:11">
      <c r="A633" s="92"/>
      <c r="B633" s="934"/>
      <c r="C633" s="79"/>
      <c r="D633" s="86"/>
      <c r="E633" s="81"/>
      <c r="F633" s="86"/>
      <c r="G633" s="86"/>
      <c r="H633" s="1421"/>
      <c r="I633" s="1421"/>
      <c r="J633" s="1378"/>
      <c r="K633" s="1379"/>
    </row>
    <row r="634" spans="1:11" ht="63">
      <c r="A634" s="90" t="s">
        <v>368</v>
      </c>
      <c r="B634" s="458" t="s">
        <v>369</v>
      </c>
      <c r="C634" s="889" t="s">
        <v>1252</v>
      </c>
      <c r="D634" s="106" t="s">
        <v>334</v>
      </c>
      <c r="E634" s="81">
        <f>+(1.9*2.5)*0.3</f>
        <v>1.425</v>
      </c>
      <c r="F634" s="807"/>
      <c r="G634" s="88">
        <f>F634*E634</f>
        <v>0</v>
      </c>
      <c r="H634" s="1393"/>
      <c r="I634" s="1393"/>
      <c r="J634" s="1378"/>
      <c r="K634" s="1379"/>
    </row>
    <row r="635" spans="1:11">
      <c r="A635" s="237"/>
      <c r="B635" s="933"/>
      <c r="C635" s="74"/>
      <c r="D635" s="106"/>
      <c r="E635" s="81"/>
      <c r="F635" s="88"/>
      <c r="G635" s="88"/>
      <c r="H635" s="1391"/>
      <c r="I635" s="1391"/>
      <c r="J635" s="1378"/>
      <c r="K635" s="1379"/>
    </row>
    <row r="636" spans="1:11" ht="63">
      <c r="A636" s="90" t="s">
        <v>295</v>
      </c>
      <c r="B636" s="458" t="s">
        <v>370</v>
      </c>
      <c r="C636" s="889" t="s">
        <v>1252</v>
      </c>
      <c r="D636" s="106" t="s">
        <v>334</v>
      </c>
      <c r="E636" s="81">
        <f>12.66-((7.29*0.05+3.32)+0.25*0.4*2*(3+1.9)+1.9*2.5*0.1)</f>
        <v>7.5205000000000002</v>
      </c>
      <c r="F636" s="807"/>
      <c r="G636" s="88">
        <f>F636*E636</f>
        <v>0</v>
      </c>
      <c r="H636" s="1393"/>
      <c r="I636" s="1393"/>
      <c r="J636" s="1378"/>
      <c r="K636" s="1379"/>
    </row>
    <row r="637" spans="1:11">
      <c r="A637" s="296"/>
      <c r="B637" s="976" t="s">
        <v>58</v>
      </c>
      <c r="C637" s="297"/>
      <c r="D637" s="298"/>
      <c r="E637" s="299"/>
      <c r="F637" s="300"/>
      <c r="G637" s="301">
        <f>SUM(G628:G636)</f>
        <v>0</v>
      </c>
      <c r="H637" s="1422"/>
      <c r="I637" s="1422"/>
      <c r="J637" s="1378"/>
      <c r="K637" s="1379"/>
    </row>
    <row r="638" spans="1:11">
      <c r="A638" s="421"/>
      <c r="B638" s="1028"/>
      <c r="C638" s="422"/>
      <c r="D638" s="423"/>
      <c r="E638" s="416"/>
      <c r="F638" s="424"/>
      <c r="G638" s="424"/>
      <c r="H638" s="1423"/>
      <c r="I638" s="1423"/>
      <c r="J638" s="1378"/>
      <c r="K638" s="1379"/>
    </row>
    <row r="639" spans="1:11" ht="47.25">
      <c r="A639" s="280"/>
      <c r="B639" s="948" t="s">
        <v>59</v>
      </c>
      <c r="C639" s="1188" t="s">
        <v>1244</v>
      </c>
      <c r="D639" s="450"/>
      <c r="E639" s="389"/>
      <c r="F639" s="390"/>
      <c r="G639" s="353"/>
      <c r="H639" s="1407"/>
      <c r="I639" s="1407"/>
      <c r="J639" s="1378"/>
      <c r="K639" s="1379"/>
    </row>
    <row r="640" spans="1:11">
      <c r="A640" s="346"/>
      <c r="B640" s="1007"/>
      <c r="C640" s="286"/>
      <c r="D640" s="317"/>
      <c r="E640" s="293"/>
      <c r="F640" s="294"/>
      <c r="G640" s="294"/>
      <c r="H640" s="1407"/>
      <c r="I640" s="1407"/>
      <c r="J640" s="1378"/>
      <c r="K640" s="1379"/>
    </row>
    <row r="641" spans="1:11" ht="94.5">
      <c r="A641" s="237">
        <v>1</v>
      </c>
      <c r="B641" s="933" t="s">
        <v>371</v>
      </c>
      <c r="C641" s="889" t="s">
        <v>1252</v>
      </c>
      <c r="D641" s="291" t="s">
        <v>282</v>
      </c>
      <c r="E641" s="81">
        <f>+(1.9*2.5)+0.45*2*(3+2.4)</f>
        <v>9.61</v>
      </c>
      <c r="F641" s="807"/>
      <c r="G641" s="88">
        <f>F641*E641</f>
        <v>0</v>
      </c>
      <c r="H641" s="1393"/>
      <c r="I641" s="1393"/>
      <c r="J641" s="1378"/>
      <c r="K641" s="1379"/>
    </row>
    <row r="642" spans="1:11">
      <c r="A642" s="173"/>
      <c r="B642" s="934"/>
      <c r="C642" s="79"/>
      <c r="D642" s="419"/>
      <c r="E642" s="81"/>
      <c r="F642" s="210"/>
      <c r="G642" s="210"/>
      <c r="H642" s="1391"/>
      <c r="I642" s="1391"/>
      <c r="J642" s="1378"/>
      <c r="K642" s="1379"/>
    </row>
    <row r="643" spans="1:11" ht="63">
      <c r="A643" s="351">
        <v>2</v>
      </c>
      <c r="B643" s="933" t="s">
        <v>360</v>
      </c>
      <c r="C643" s="889" t="s">
        <v>1252</v>
      </c>
      <c r="D643" s="77" t="s">
        <v>19</v>
      </c>
      <c r="E643" s="81">
        <f>1.9*2.5*0.15</f>
        <v>0.71250000000000002</v>
      </c>
      <c r="F643" s="807"/>
      <c r="G643" s="88">
        <f>F643*E643</f>
        <v>0</v>
      </c>
      <c r="H643" s="1393"/>
      <c r="I643" s="1393"/>
      <c r="J643" s="1378"/>
      <c r="K643" s="1379"/>
    </row>
    <row r="644" spans="1:11">
      <c r="A644" s="173"/>
      <c r="B644" s="934"/>
      <c r="C644" s="475"/>
      <c r="D644" s="432"/>
      <c r="E644" s="81"/>
      <c r="F644" s="210"/>
      <c r="G644" s="210"/>
      <c r="H644" s="1391"/>
      <c r="I644" s="1391"/>
      <c r="J644" s="1378"/>
      <c r="K644" s="1379"/>
    </row>
    <row r="645" spans="1:11" ht="63">
      <c r="A645" s="351">
        <v>3</v>
      </c>
      <c r="B645" s="933" t="s">
        <v>361</v>
      </c>
      <c r="C645" s="889" t="s">
        <v>1252</v>
      </c>
      <c r="D645" s="77" t="s">
        <v>19</v>
      </c>
      <c r="E645" s="81">
        <f>2*(3+1.9)*0.25*1.05</f>
        <v>2.5725000000000002</v>
      </c>
      <c r="F645" s="807"/>
      <c r="G645" s="88">
        <f>F645*E645</f>
        <v>0</v>
      </c>
      <c r="H645" s="1393"/>
      <c r="I645" s="1393"/>
      <c r="J645" s="1378"/>
      <c r="K645" s="1379"/>
    </row>
    <row r="646" spans="1:11">
      <c r="A646" s="296"/>
      <c r="B646" s="936" t="s">
        <v>372</v>
      </c>
      <c r="C646" s="96"/>
      <c r="D646" s="298"/>
      <c r="E646" s="299"/>
      <c r="F646" s="300"/>
      <c r="G646" s="301">
        <f>SUM(G641:G645)</f>
        <v>0</v>
      </c>
      <c r="H646" s="1422"/>
      <c r="I646" s="1422"/>
      <c r="J646" s="1378"/>
      <c r="K646" s="1379"/>
    </row>
    <row r="647" spans="1:11">
      <c r="A647" s="421"/>
      <c r="B647" s="1028"/>
      <c r="C647" s="422"/>
      <c r="D647" s="423"/>
      <c r="E647" s="416"/>
      <c r="F647" s="424"/>
      <c r="G647" s="424"/>
      <c r="H647" s="1423"/>
      <c r="I647" s="1423"/>
      <c r="J647" s="1378"/>
      <c r="K647" s="1379"/>
    </row>
    <row r="648" spans="1:11">
      <c r="A648" s="451"/>
      <c r="B648" s="938" t="s">
        <v>81</v>
      </c>
      <c r="C648" s="1188" t="s">
        <v>1244</v>
      </c>
      <c r="D648" s="452"/>
      <c r="E648" s="282"/>
      <c r="F648" s="390"/>
      <c r="G648" s="453"/>
      <c r="H648" s="1407"/>
      <c r="I648" s="1407"/>
      <c r="J648" s="1378"/>
      <c r="K648" s="1379"/>
    </row>
    <row r="649" spans="1:11">
      <c r="A649" s="349"/>
      <c r="B649" s="1007"/>
      <c r="C649" s="286"/>
      <c r="D649" s="317"/>
      <c r="E649" s="293"/>
      <c r="F649" s="294"/>
      <c r="G649" s="294"/>
      <c r="H649" s="1407"/>
      <c r="I649" s="1407"/>
      <c r="J649" s="1378"/>
      <c r="K649" s="1379"/>
    </row>
    <row r="650" spans="1:11" ht="63">
      <c r="A650" s="90" t="s">
        <v>60</v>
      </c>
      <c r="B650" s="933" t="s">
        <v>82</v>
      </c>
      <c r="C650" s="889" t="s">
        <v>1252</v>
      </c>
      <c r="D650" s="440"/>
      <c r="E650" s="441"/>
      <c r="F650" s="82"/>
      <c r="G650" s="64"/>
      <c r="H650" s="1391"/>
      <c r="I650" s="1391"/>
      <c r="J650" s="1378"/>
      <c r="K650" s="1379"/>
    </row>
    <row r="651" spans="1:11">
      <c r="A651" s="92"/>
      <c r="B651" s="950" t="s">
        <v>373</v>
      </c>
      <c r="C651" s="179"/>
      <c r="D651" s="440"/>
      <c r="E651" s="441"/>
      <c r="F651" s="82"/>
      <c r="G651" s="64"/>
      <c r="H651" s="1391"/>
      <c r="I651" s="1391"/>
      <c r="J651" s="1378"/>
      <c r="K651" s="1379"/>
    </row>
    <row r="652" spans="1:11">
      <c r="A652" s="92"/>
      <c r="B652" s="933" t="s">
        <v>336</v>
      </c>
      <c r="C652" s="74"/>
      <c r="D652" s="440"/>
      <c r="E652" s="441"/>
      <c r="F652" s="82"/>
      <c r="G652" s="64"/>
      <c r="H652" s="1391"/>
      <c r="I652" s="1391"/>
      <c r="J652" s="1378"/>
      <c r="K652" s="1379"/>
    </row>
    <row r="653" spans="1:11">
      <c r="A653" s="92"/>
      <c r="B653" s="933" t="s">
        <v>337</v>
      </c>
      <c r="C653" s="74"/>
      <c r="D653" s="77" t="s">
        <v>83</v>
      </c>
      <c r="E653" s="295">
        <f>+(0.71+2.57)*130</f>
        <v>426.4</v>
      </c>
      <c r="F653" s="807"/>
      <c r="G653" s="88">
        <f>F653*E653</f>
        <v>0</v>
      </c>
      <c r="H653" s="1393"/>
      <c r="I653" s="1393"/>
      <c r="J653" s="1378"/>
      <c r="K653" s="1379"/>
    </row>
    <row r="654" spans="1:11">
      <c r="A654" s="396"/>
      <c r="B654" s="936" t="s">
        <v>84</v>
      </c>
      <c r="C654" s="96"/>
      <c r="D654" s="343"/>
      <c r="E654" s="397"/>
      <c r="F654" s="345"/>
      <c r="G654" s="301">
        <f>SUM(G653:G653)</f>
        <v>0</v>
      </c>
      <c r="H654" s="1425"/>
      <c r="I654" s="1425"/>
      <c r="J654" s="1378"/>
      <c r="K654" s="1379"/>
    </row>
    <row r="655" spans="1:11">
      <c r="A655" s="435"/>
      <c r="B655" s="1032"/>
      <c r="C655" s="443"/>
      <c r="D655" s="433"/>
      <c r="E655" s="434"/>
      <c r="F655" s="434"/>
      <c r="G655" s="434"/>
      <c r="H655" s="1398"/>
      <c r="I655" s="1398"/>
      <c r="J655" s="1378"/>
      <c r="K655" s="1379"/>
    </row>
    <row r="656" spans="1:11">
      <c r="A656" s="188"/>
      <c r="B656" s="931" t="s">
        <v>1249</v>
      </c>
      <c r="C656" s="660"/>
      <c r="D656" s="189"/>
      <c r="E656" s="171"/>
      <c r="F656" s="171"/>
      <c r="G656" s="110"/>
      <c r="H656" s="1398"/>
      <c r="I656" s="1398"/>
      <c r="J656" s="1378"/>
      <c r="K656" s="1379"/>
    </row>
    <row r="657" spans="1:245" ht="94.5">
      <c r="A657" s="178">
        <v>1</v>
      </c>
      <c r="B657" s="1038" t="s">
        <v>374</v>
      </c>
      <c r="C657" s="889" t="s">
        <v>1252</v>
      </c>
      <c r="D657" s="80" t="s">
        <v>11</v>
      </c>
      <c r="E657" s="81">
        <v>1</v>
      </c>
      <c r="F657" s="807"/>
      <c r="G657" s="88">
        <f>F657*E657</f>
        <v>0</v>
      </c>
      <c r="H657" s="1393"/>
      <c r="I657" s="1393"/>
      <c r="J657" s="1378"/>
      <c r="K657" s="1379"/>
    </row>
    <row r="658" spans="1:245">
      <c r="A658" s="194"/>
      <c r="B658" s="936" t="s">
        <v>245</v>
      </c>
      <c r="C658" s="96"/>
      <c r="D658" s="195"/>
      <c r="E658" s="197"/>
      <c r="F658" s="197"/>
      <c r="G658" s="99">
        <f>SUM(G657:G657)</f>
        <v>0</v>
      </c>
      <c r="H658" s="1401"/>
      <c r="I658" s="1401"/>
      <c r="J658" s="1378"/>
      <c r="K658" s="1379"/>
    </row>
    <row r="659" spans="1:245">
      <c r="A659" s="237"/>
      <c r="B659" s="930"/>
      <c r="C659" s="100"/>
      <c r="D659" s="131"/>
      <c r="E659" s="153"/>
      <c r="F659" s="88"/>
      <c r="G659" s="174"/>
      <c r="H659" s="1391"/>
      <c r="I659" s="1391"/>
      <c r="J659" s="1378"/>
      <c r="K659" s="1379"/>
    </row>
    <row r="660" spans="1:245">
      <c r="A660" s="237"/>
      <c r="B660" s="1041"/>
      <c r="C660" s="476"/>
      <c r="D660" s="131"/>
      <c r="E660" s="153"/>
      <c r="F660" s="88"/>
      <c r="G660" s="174"/>
      <c r="H660" s="1391"/>
      <c r="I660" s="1391"/>
      <c r="J660" s="1378"/>
      <c r="K660" s="1379"/>
    </row>
    <row r="661" spans="1:245">
      <c r="A661" s="262"/>
      <c r="B661" s="263" t="s">
        <v>375</v>
      </c>
      <c r="C661" s="263"/>
      <c r="D661" s="447"/>
      <c r="E661" s="447"/>
      <c r="F661" s="447"/>
      <c r="G661" s="447"/>
      <c r="H661" s="1432"/>
      <c r="I661" s="1433"/>
      <c r="J661" s="1378"/>
      <c r="K661" s="1379"/>
    </row>
    <row r="662" spans="1:245">
      <c r="A662" s="351" t="s">
        <v>247</v>
      </c>
      <c r="B662" s="1034" t="s">
        <v>248</v>
      </c>
      <c r="C662" s="448"/>
      <c r="D662" s="131"/>
      <c r="E662" s="153"/>
      <c r="F662" s="88"/>
      <c r="G662" s="88">
        <f>G637</f>
        <v>0</v>
      </c>
      <c r="H662" s="1391"/>
      <c r="I662" s="1391"/>
      <c r="J662" s="1378"/>
      <c r="K662" s="1379"/>
    </row>
    <row r="663" spans="1:245">
      <c r="A663" s="351" t="s">
        <v>249</v>
      </c>
      <c r="B663" s="1034" t="s">
        <v>338</v>
      </c>
      <c r="C663" s="449"/>
      <c r="D663" s="131"/>
      <c r="E663" s="153"/>
      <c r="F663" s="88"/>
      <c r="G663" s="88">
        <f>G646</f>
        <v>0</v>
      </c>
      <c r="H663" s="1391"/>
      <c r="I663" s="1391"/>
      <c r="J663" s="1378"/>
      <c r="K663" s="1379"/>
    </row>
    <row r="664" spans="1:245">
      <c r="A664" s="351" t="s">
        <v>251</v>
      </c>
      <c r="B664" s="1034" t="s">
        <v>252</v>
      </c>
      <c r="C664" s="448"/>
      <c r="D664" s="131"/>
      <c r="E664" s="153"/>
      <c r="F664" s="88"/>
      <c r="G664" s="88">
        <f>G654</f>
        <v>0</v>
      </c>
      <c r="H664" s="1391"/>
      <c r="I664" s="1391"/>
      <c r="J664" s="1378"/>
      <c r="K664" s="1379"/>
    </row>
    <row r="665" spans="1:245">
      <c r="A665" s="351" t="s">
        <v>253</v>
      </c>
      <c r="B665" s="1034" t="s">
        <v>273</v>
      </c>
      <c r="C665" s="448"/>
      <c r="D665" s="131"/>
      <c r="E665" s="153"/>
      <c r="F665" s="88"/>
      <c r="G665" s="88">
        <f>+G658</f>
        <v>0</v>
      </c>
      <c r="H665" s="1391"/>
      <c r="I665" s="1391"/>
      <c r="J665" s="1378"/>
      <c r="K665" s="1379"/>
    </row>
    <row r="666" spans="1:245">
      <c r="A666" s="95"/>
      <c r="B666" s="936" t="s">
        <v>376</v>
      </c>
      <c r="C666" s="96"/>
      <c r="D666" s="155"/>
      <c r="E666" s="98"/>
      <c r="F666" s="98"/>
      <c r="G666" s="99">
        <f>SUM(G662:G665)</f>
        <v>0</v>
      </c>
      <c r="H666" s="1396"/>
      <c r="I666" s="1396"/>
      <c r="J666" s="1378"/>
      <c r="K666" s="1379"/>
    </row>
    <row r="667" spans="1:245">
      <c r="J667" s="1378"/>
      <c r="K667" s="1379"/>
    </row>
    <row r="668" spans="1:245">
      <c r="J668" s="1378"/>
      <c r="K668" s="1379"/>
    </row>
    <row r="669" spans="1:245">
      <c r="A669" s="789"/>
      <c r="B669" s="929" t="s">
        <v>377</v>
      </c>
      <c r="C669" s="788"/>
      <c r="D669" s="790"/>
      <c r="E669" s="791"/>
      <c r="F669" s="792"/>
      <c r="G669" s="793"/>
      <c r="H669" s="1415"/>
      <c r="I669" s="1415"/>
      <c r="J669" s="1378"/>
      <c r="K669" s="1379"/>
    </row>
    <row r="670" spans="1:245">
      <c r="A670" s="273"/>
      <c r="B670" s="1006"/>
      <c r="C670" s="279"/>
      <c r="D670" s="274"/>
      <c r="E670" s="275"/>
      <c r="F670" s="276"/>
      <c r="G670" s="277"/>
      <c r="H670" s="1416"/>
      <c r="I670" s="1416"/>
      <c r="J670" s="1378"/>
      <c r="K670" s="1379"/>
    </row>
    <row r="671" spans="1:245" s="771" customFormat="1" ht="30">
      <c r="A671" s="766" t="s">
        <v>891</v>
      </c>
      <c r="B671" s="920" t="s">
        <v>892</v>
      </c>
      <c r="C671" s="768" t="s">
        <v>894</v>
      </c>
      <c r="D671" s="768" t="s">
        <v>1</v>
      </c>
      <c r="E671" s="769" t="s">
        <v>893</v>
      </c>
      <c r="F671" s="769" t="s">
        <v>1234</v>
      </c>
      <c r="G671" s="769" t="s">
        <v>1233</v>
      </c>
      <c r="H671" s="1375"/>
      <c r="I671" s="1376"/>
      <c r="J671" s="1378"/>
      <c r="K671" s="1379"/>
      <c r="L671" s="770"/>
      <c r="M671" s="770"/>
      <c r="N671" s="770"/>
      <c r="O671" s="770"/>
      <c r="P671" s="770"/>
      <c r="Q671" s="770"/>
      <c r="R671" s="770"/>
      <c r="S671" s="770"/>
      <c r="T671" s="770"/>
      <c r="U671" s="770"/>
      <c r="V671" s="770"/>
      <c r="W671" s="770"/>
      <c r="X671" s="770"/>
      <c r="Y671" s="770"/>
      <c r="Z671" s="770"/>
      <c r="AA671" s="770"/>
      <c r="AB671" s="770"/>
      <c r="AC671" s="770"/>
      <c r="AD671" s="770"/>
      <c r="AE671" s="770"/>
      <c r="AF671" s="770"/>
      <c r="AG671" s="770"/>
      <c r="AH671" s="770"/>
      <c r="AI671" s="770"/>
      <c r="AJ671" s="770"/>
      <c r="AK671" s="770"/>
      <c r="AL671" s="770"/>
      <c r="AM671" s="770"/>
      <c r="AN671" s="770"/>
      <c r="AO671" s="770"/>
      <c r="AP671" s="770"/>
      <c r="AQ671" s="770"/>
      <c r="AR671" s="770"/>
      <c r="AS671" s="770"/>
      <c r="AT671" s="770"/>
      <c r="AU671" s="770"/>
      <c r="AV671" s="770"/>
      <c r="AW671" s="770"/>
      <c r="AX671" s="770"/>
      <c r="AY671" s="770"/>
      <c r="AZ671" s="770"/>
      <c r="BA671" s="770"/>
      <c r="BB671" s="770"/>
      <c r="BC671" s="770"/>
      <c r="BD671" s="770"/>
      <c r="BE671" s="770"/>
      <c r="BF671" s="770"/>
      <c r="BG671" s="770"/>
      <c r="BH671" s="770"/>
      <c r="BI671" s="770"/>
      <c r="BJ671" s="770"/>
      <c r="BK671" s="770"/>
      <c r="BL671" s="770"/>
      <c r="BM671" s="770"/>
      <c r="BN671" s="770"/>
      <c r="BO671" s="770"/>
      <c r="BP671" s="770"/>
      <c r="BQ671" s="770"/>
      <c r="BR671" s="770"/>
      <c r="BS671" s="770"/>
      <c r="BT671" s="770"/>
      <c r="BU671" s="770"/>
      <c r="BV671" s="770"/>
      <c r="BW671" s="770"/>
      <c r="BX671" s="770"/>
      <c r="BY671" s="770"/>
      <c r="BZ671" s="770"/>
      <c r="CA671" s="770"/>
      <c r="CB671" s="770"/>
      <c r="CC671" s="770"/>
      <c r="CD671" s="770"/>
      <c r="CE671" s="770"/>
      <c r="CF671" s="770"/>
      <c r="CG671" s="770"/>
      <c r="CH671" s="770"/>
      <c r="CI671" s="770"/>
      <c r="CJ671" s="770"/>
      <c r="CK671" s="770"/>
      <c r="CL671" s="770"/>
      <c r="CM671" s="770"/>
      <c r="CN671" s="770"/>
      <c r="CO671" s="770"/>
      <c r="CP671" s="770"/>
      <c r="CQ671" s="770"/>
      <c r="CR671" s="770"/>
      <c r="CS671" s="770"/>
      <c r="CT671" s="770"/>
      <c r="CU671" s="770"/>
      <c r="CV671" s="770"/>
      <c r="CW671" s="770"/>
      <c r="CX671" s="770"/>
      <c r="CY671" s="770"/>
      <c r="CZ671" s="770"/>
      <c r="DA671" s="770"/>
      <c r="DB671" s="770"/>
      <c r="DC671" s="770"/>
      <c r="DD671" s="770"/>
      <c r="DE671" s="770"/>
      <c r="DF671" s="770"/>
      <c r="DG671" s="770"/>
      <c r="DH671" s="770"/>
      <c r="DI671" s="770"/>
      <c r="DJ671" s="770"/>
      <c r="DK671" s="770"/>
      <c r="DL671" s="770"/>
      <c r="DM671" s="770"/>
      <c r="DN671" s="770"/>
      <c r="DO671" s="770"/>
      <c r="DP671" s="770"/>
      <c r="DQ671" s="770"/>
      <c r="DR671" s="770"/>
      <c r="DS671" s="770"/>
      <c r="DT671" s="770"/>
      <c r="DU671" s="770"/>
      <c r="DV671" s="770"/>
      <c r="DW671" s="770"/>
      <c r="DX671" s="770"/>
      <c r="DY671" s="770"/>
      <c r="DZ671" s="770"/>
      <c r="EA671" s="770"/>
      <c r="EB671" s="770"/>
      <c r="EC671" s="770"/>
      <c r="ED671" s="770"/>
      <c r="EE671" s="770"/>
      <c r="EF671" s="770"/>
      <c r="EG671" s="770"/>
      <c r="EH671" s="770"/>
      <c r="EI671" s="770"/>
      <c r="EJ671" s="770"/>
      <c r="EK671" s="770"/>
      <c r="EL671" s="770"/>
      <c r="EM671" s="770"/>
      <c r="EN671" s="770"/>
      <c r="EO671" s="770"/>
      <c r="EP671" s="770"/>
      <c r="EQ671" s="770"/>
      <c r="ER671" s="770"/>
      <c r="ES671" s="770"/>
      <c r="ET671" s="770"/>
      <c r="EU671" s="770"/>
      <c r="EV671" s="770"/>
      <c r="EW671" s="770"/>
      <c r="EX671" s="770"/>
      <c r="EY671" s="770"/>
      <c r="EZ671" s="770"/>
      <c r="FA671" s="770"/>
      <c r="FB671" s="770"/>
      <c r="FC671" s="770"/>
      <c r="FD671" s="770"/>
      <c r="FE671" s="770"/>
      <c r="FF671" s="770"/>
      <c r="FG671" s="770"/>
      <c r="FH671" s="770"/>
      <c r="FI671" s="770"/>
      <c r="FJ671" s="770"/>
      <c r="FK671" s="770"/>
      <c r="FL671" s="770"/>
      <c r="FM671" s="770"/>
      <c r="FN671" s="770"/>
      <c r="FO671" s="770"/>
      <c r="FP671" s="770"/>
      <c r="FQ671" s="770"/>
      <c r="FR671" s="770"/>
      <c r="FS671" s="770"/>
      <c r="FT671" s="770"/>
      <c r="FU671" s="770"/>
      <c r="FV671" s="770"/>
      <c r="FW671" s="770"/>
      <c r="FX671" s="770"/>
      <c r="FY671" s="770"/>
      <c r="FZ671" s="770"/>
      <c r="GA671" s="770"/>
      <c r="GB671" s="770"/>
      <c r="GC671" s="770"/>
      <c r="GD671" s="770"/>
      <c r="GE671" s="770"/>
      <c r="GF671" s="770"/>
      <c r="GG671" s="770"/>
      <c r="GH671" s="770"/>
      <c r="GI671" s="770"/>
      <c r="GJ671" s="770"/>
      <c r="GK671" s="770"/>
      <c r="GL671" s="770"/>
      <c r="GM671" s="770"/>
      <c r="GN671" s="770"/>
      <c r="GO671" s="770"/>
      <c r="GP671" s="770"/>
      <c r="GQ671" s="770"/>
      <c r="GR671" s="770"/>
      <c r="GS671" s="770"/>
      <c r="GT671" s="770"/>
      <c r="GU671" s="770"/>
      <c r="GV671" s="770"/>
      <c r="GW671" s="770"/>
      <c r="GX671" s="770"/>
      <c r="GY671" s="770"/>
      <c r="GZ671" s="770"/>
      <c r="HA671" s="770"/>
      <c r="HB671" s="770"/>
      <c r="HC671" s="770"/>
      <c r="HD671" s="770"/>
      <c r="HE671" s="770"/>
      <c r="HF671" s="770"/>
      <c r="HG671" s="770"/>
      <c r="HH671" s="770"/>
      <c r="HI671" s="770"/>
      <c r="HJ671" s="770"/>
      <c r="HK671" s="770"/>
      <c r="HL671" s="770"/>
      <c r="HM671" s="770"/>
      <c r="HN671" s="770"/>
      <c r="HO671" s="770"/>
      <c r="HP671" s="770"/>
      <c r="HQ671" s="770"/>
      <c r="HR671" s="770"/>
      <c r="HS671" s="770"/>
      <c r="HT671" s="770"/>
      <c r="HU671" s="770"/>
      <c r="HV671" s="770"/>
      <c r="HW671" s="770"/>
      <c r="HX671" s="770"/>
      <c r="HY671" s="770"/>
      <c r="HZ671" s="770"/>
      <c r="IA671" s="770"/>
      <c r="IB671" s="770"/>
      <c r="IC671" s="770"/>
      <c r="ID671" s="770"/>
      <c r="IE671" s="770"/>
      <c r="IF671" s="770"/>
      <c r="IG671" s="770"/>
      <c r="IH671" s="770"/>
      <c r="II671" s="770"/>
      <c r="IJ671" s="770"/>
      <c r="IK671" s="770"/>
    </row>
    <row r="672" spans="1:245">
      <c r="A672" s="405"/>
      <c r="B672" s="1025"/>
      <c r="C672" s="406"/>
      <c r="D672" s="406"/>
      <c r="E672" s="407"/>
      <c r="F672" s="408"/>
      <c r="G672" s="409"/>
      <c r="H672" s="1416"/>
      <c r="I672" s="1416"/>
      <c r="J672" s="1378"/>
      <c r="K672" s="1379"/>
    </row>
    <row r="673" spans="1:11">
      <c r="A673" s="280"/>
      <c r="B673" s="948" t="s">
        <v>841</v>
      </c>
      <c r="C673" s="1190" t="s">
        <v>1272</v>
      </c>
      <c r="D673" s="281"/>
      <c r="E673" s="282"/>
      <c r="F673" s="283"/>
      <c r="G673" s="284"/>
      <c r="H673" s="1417"/>
      <c r="I673" s="1417"/>
      <c r="J673" s="1378"/>
      <c r="K673" s="1379"/>
    </row>
    <row r="674" spans="1:11">
      <c r="A674" s="474"/>
      <c r="B674" s="1040"/>
      <c r="C674" s="412"/>
      <c r="D674" s="337"/>
      <c r="E674" s="338"/>
      <c r="F674" s="341"/>
      <c r="G674" s="341"/>
      <c r="H674" s="1417"/>
      <c r="I674" s="1417"/>
      <c r="J674" s="1378"/>
      <c r="K674" s="1379"/>
    </row>
    <row r="675" spans="1:11" ht="31.5">
      <c r="A675" s="90" t="s">
        <v>60</v>
      </c>
      <c r="B675" s="933" t="s">
        <v>378</v>
      </c>
      <c r="C675" s="889" t="s">
        <v>1253</v>
      </c>
      <c r="D675" s="291" t="s">
        <v>282</v>
      </c>
      <c r="E675" s="150">
        <f>+(0.6+3+0.6)*(0.6+3.6+0.6)</f>
        <v>20.16</v>
      </c>
      <c r="F675" s="807"/>
      <c r="G675" s="85">
        <f>F675*E675</f>
        <v>0</v>
      </c>
      <c r="H675" s="1392"/>
      <c r="I675" s="1392"/>
      <c r="J675" s="1378"/>
      <c r="K675" s="1379"/>
    </row>
    <row r="676" spans="1:11">
      <c r="A676" s="417"/>
      <c r="B676" s="1027"/>
      <c r="C676" s="418"/>
      <c r="D676" s="419"/>
      <c r="E676" s="210"/>
      <c r="F676" s="210"/>
      <c r="G676" s="210"/>
      <c r="H676" s="1391"/>
      <c r="I676" s="1391"/>
      <c r="J676" s="1378"/>
      <c r="K676" s="1379"/>
    </row>
    <row r="677" spans="1:11" ht="78.75">
      <c r="A677" s="90" t="s">
        <v>63</v>
      </c>
      <c r="B677" s="933" t="s">
        <v>379</v>
      </c>
      <c r="C677" s="889" t="s">
        <v>1253</v>
      </c>
      <c r="D677" s="87" t="s">
        <v>51</v>
      </c>
      <c r="E677" s="105">
        <f>+((0.85+1.2)/2*0.35*(6.3+2.95+3.6+0.85+2.7+2.1))</f>
        <v>6.636874999999999</v>
      </c>
      <c r="F677" s="807"/>
      <c r="G677" s="88">
        <f>F677*E677</f>
        <v>0</v>
      </c>
      <c r="H677" s="1393"/>
      <c r="I677" s="1393"/>
      <c r="J677" s="1378"/>
      <c r="K677" s="1379"/>
    </row>
    <row r="678" spans="1:11">
      <c r="A678" s="417"/>
      <c r="B678" s="1027"/>
      <c r="C678" s="418"/>
      <c r="D678" s="106"/>
      <c r="E678" s="105"/>
      <c r="F678" s="88"/>
      <c r="G678" s="88"/>
      <c r="H678" s="1391"/>
      <c r="I678" s="1391"/>
      <c r="J678" s="1378"/>
      <c r="K678" s="1379"/>
    </row>
    <row r="679" spans="1:11" ht="63">
      <c r="A679" s="90" t="s">
        <v>65</v>
      </c>
      <c r="B679" s="933" t="s">
        <v>380</v>
      </c>
      <c r="C679" s="889" t="s">
        <v>1253</v>
      </c>
      <c r="D679" s="87" t="s">
        <v>51</v>
      </c>
      <c r="E679" s="105">
        <v>8.01</v>
      </c>
      <c r="F679" s="807"/>
      <c r="G679" s="88">
        <f>F679*E679</f>
        <v>0</v>
      </c>
      <c r="H679" s="1393"/>
      <c r="I679" s="1393"/>
      <c r="J679" s="1378"/>
      <c r="K679" s="1379"/>
    </row>
    <row r="680" spans="1:11">
      <c r="A680" s="417"/>
      <c r="B680" s="1027"/>
      <c r="C680" s="418"/>
      <c r="D680" s="106"/>
      <c r="E680" s="107"/>
      <c r="F680" s="88"/>
      <c r="G680" s="88"/>
      <c r="H680" s="1391"/>
      <c r="I680" s="1391"/>
      <c r="J680" s="1378"/>
      <c r="K680" s="1379"/>
    </row>
    <row r="681" spans="1:11" ht="47.25">
      <c r="A681" s="90" t="s">
        <v>381</v>
      </c>
      <c r="B681" s="933" t="s">
        <v>382</v>
      </c>
      <c r="C681" s="889" t="s">
        <v>1253</v>
      </c>
      <c r="D681" s="87" t="s">
        <v>51</v>
      </c>
      <c r="E681" s="105">
        <f>2.1*0.3*(1.13+1.42)+0.3*0.9*2.1</f>
        <v>2.1734999999999998</v>
      </c>
      <c r="F681" s="807"/>
      <c r="G681" s="88">
        <f>F681*E681</f>
        <v>0</v>
      </c>
      <c r="H681" s="1393"/>
      <c r="I681" s="1393"/>
      <c r="J681" s="1378"/>
      <c r="K681" s="1379"/>
    </row>
    <row r="682" spans="1:11">
      <c r="A682" s="417"/>
      <c r="B682" s="1027"/>
      <c r="C682" s="418"/>
      <c r="D682" s="86"/>
      <c r="E682" s="83"/>
      <c r="F682" s="86"/>
      <c r="G682" s="86"/>
      <c r="H682" s="1421"/>
      <c r="I682" s="1421"/>
      <c r="J682" s="1378"/>
      <c r="K682" s="1379"/>
    </row>
    <row r="683" spans="1:11" ht="78.75">
      <c r="A683" s="90" t="s">
        <v>368</v>
      </c>
      <c r="B683" s="933" t="s">
        <v>357</v>
      </c>
      <c r="C683" s="889" t="s">
        <v>1253</v>
      </c>
      <c r="D683" s="87" t="s">
        <v>51</v>
      </c>
      <c r="E683" s="150">
        <f>+(1.85*2.5)*1.25+(1.13*1.2)*1.25+(0.6+1.25)/2*1.2*1.57</f>
        <v>9.2189499999999995</v>
      </c>
      <c r="F683" s="807"/>
      <c r="G683" s="88">
        <f>F683*E683</f>
        <v>0</v>
      </c>
      <c r="H683" s="1393"/>
      <c r="I683" s="1393"/>
      <c r="J683" s="1378"/>
      <c r="K683" s="1379"/>
    </row>
    <row r="684" spans="1:11">
      <c r="A684" s="417"/>
      <c r="B684" s="1027"/>
      <c r="C684" s="418"/>
      <c r="D684" s="420"/>
      <c r="E684" s="210"/>
      <c r="F684" s="210"/>
      <c r="G684" s="210"/>
      <c r="H684" s="1391"/>
      <c r="I684" s="1391"/>
      <c r="J684" s="1378"/>
      <c r="K684" s="1379"/>
    </row>
    <row r="685" spans="1:11" ht="94.5">
      <c r="A685" s="90" t="s">
        <v>70</v>
      </c>
      <c r="B685" s="933" t="s">
        <v>383</v>
      </c>
      <c r="C685" s="889" t="s">
        <v>1253</v>
      </c>
      <c r="D685" s="87" t="s">
        <v>51</v>
      </c>
      <c r="E685" s="150">
        <f>+(1.2+1.8)/2*0.6*2*(2.4+5.6)</f>
        <v>14.399999999999999</v>
      </c>
      <c r="F685" s="807"/>
      <c r="G685" s="88">
        <f>F685*E685</f>
        <v>0</v>
      </c>
      <c r="H685" s="1393"/>
      <c r="I685" s="1393"/>
      <c r="J685" s="1378"/>
      <c r="K685" s="1379"/>
    </row>
    <row r="686" spans="1:11">
      <c r="A686" s="436"/>
      <c r="B686" s="976" t="s">
        <v>58</v>
      </c>
      <c r="C686" s="297"/>
      <c r="D686" s="437"/>
      <c r="E686" s="438"/>
      <c r="F686" s="439"/>
      <c r="G686" s="301">
        <f>SUM(G675:G685)</f>
        <v>0</v>
      </c>
      <c r="H686" s="1422"/>
      <c r="I686" s="1422"/>
      <c r="J686" s="1378"/>
      <c r="K686" s="1379"/>
    </row>
    <row r="687" spans="1:11">
      <c r="A687" s="421"/>
      <c r="B687" s="1028"/>
      <c r="C687" s="422"/>
      <c r="D687" s="423"/>
      <c r="E687" s="416"/>
      <c r="F687" s="424"/>
      <c r="G687" s="424"/>
      <c r="H687" s="1423"/>
      <c r="I687" s="1423"/>
      <c r="J687" s="1378"/>
      <c r="K687" s="1379"/>
    </row>
    <row r="688" spans="1:11" ht="47.25">
      <c r="A688" s="280"/>
      <c r="B688" s="948" t="s">
        <v>59</v>
      </c>
      <c r="C688" s="1188" t="s">
        <v>1244</v>
      </c>
      <c r="D688" s="450"/>
      <c r="E688" s="389"/>
      <c r="F688" s="390"/>
      <c r="G688" s="353"/>
      <c r="H688" s="1407"/>
      <c r="I688" s="1407"/>
      <c r="J688" s="1378"/>
      <c r="K688" s="1379"/>
    </row>
    <row r="689" spans="1:11">
      <c r="A689" s="346"/>
      <c r="B689" s="1007"/>
      <c r="C689" s="286"/>
      <c r="D689" s="317"/>
      <c r="E689" s="105"/>
      <c r="F689" s="294"/>
      <c r="G689" s="294"/>
      <c r="H689" s="1407"/>
      <c r="I689" s="1407"/>
      <c r="J689" s="1378"/>
      <c r="K689" s="1379"/>
    </row>
    <row r="690" spans="1:11" ht="94.5">
      <c r="A690" s="237">
        <v>1</v>
      </c>
      <c r="B690" s="933" t="s">
        <v>384</v>
      </c>
      <c r="C690" s="889" t="s">
        <v>1253</v>
      </c>
      <c r="D690" s="291" t="s">
        <v>282</v>
      </c>
      <c r="E690" s="105">
        <v>15.64</v>
      </c>
      <c r="F690" s="807"/>
      <c r="G690" s="88">
        <f>F690*E690</f>
        <v>0</v>
      </c>
      <c r="H690" s="1393"/>
      <c r="I690" s="1393"/>
      <c r="J690" s="1378"/>
      <c r="K690" s="1379"/>
    </row>
    <row r="691" spans="1:11">
      <c r="A691" s="173"/>
      <c r="B691" s="934"/>
      <c r="C691" s="79"/>
      <c r="D691" s="131"/>
      <c r="E691" s="105"/>
      <c r="F691" s="130"/>
      <c r="G691" s="88"/>
      <c r="H691" s="1434"/>
      <c r="I691" s="1435"/>
      <c r="J691" s="1378"/>
      <c r="K691" s="1379"/>
    </row>
    <row r="692" spans="1:11" ht="63">
      <c r="A692" s="351">
        <v>2</v>
      </c>
      <c r="B692" s="1003" t="s">
        <v>385</v>
      </c>
      <c r="C692" s="889" t="s">
        <v>1253</v>
      </c>
      <c r="D692" s="77" t="s">
        <v>333</v>
      </c>
      <c r="E692" s="105">
        <f>+(0.25*1.55*2*(3+1.85))+2*(0.15*((1.15*1.63)+(1.63+1)/2*1.25))</f>
        <v>4.8142250000000004</v>
      </c>
      <c r="F692" s="807"/>
      <c r="G692" s="88">
        <f>F692*E692</f>
        <v>0</v>
      </c>
      <c r="H692" s="1393"/>
      <c r="I692" s="1393"/>
      <c r="J692" s="1378"/>
      <c r="K692" s="1379"/>
    </row>
    <row r="693" spans="1:11">
      <c r="A693" s="173"/>
      <c r="B693" s="934"/>
      <c r="C693" s="79"/>
      <c r="D693" s="147"/>
      <c r="E693" s="105"/>
      <c r="F693" s="149"/>
      <c r="G693" s="149"/>
      <c r="H693" s="1391"/>
      <c r="I693" s="1391"/>
      <c r="J693" s="1378"/>
      <c r="K693" s="1379"/>
    </row>
    <row r="694" spans="1:11" ht="63">
      <c r="A694" s="351">
        <v>3</v>
      </c>
      <c r="B694" s="933" t="s">
        <v>386</v>
      </c>
      <c r="C694" s="889" t="s">
        <v>1253</v>
      </c>
      <c r="D694" s="77" t="s">
        <v>333</v>
      </c>
      <c r="E694" s="105">
        <f>3*2.35*0.2</f>
        <v>1.4100000000000001</v>
      </c>
      <c r="F694" s="807"/>
      <c r="G694" s="88">
        <f>F694*E694</f>
        <v>0</v>
      </c>
      <c r="H694" s="1397"/>
      <c r="I694" s="1397"/>
      <c r="J694" s="1378"/>
      <c r="K694" s="1379"/>
    </row>
    <row r="695" spans="1:11">
      <c r="A695" s="173"/>
      <c r="B695" s="934"/>
      <c r="C695" s="79"/>
      <c r="D695" s="478"/>
      <c r="E695" s="105"/>
      <c r="F695" s="139"/>
      <c r="G695" s="88"/>
      <c r="H695" s="1408"/>
      <c r="I695" s="1408"/>
      <c r="J695" s="1378"/>
      <c r="K695" s="1379"/>
    </row>
    <row r="696" spans="1:11" ht="78.75">
      <c r="A696" s="178">
        <v>4</v>
      </c>
      <c r="B696" s="958" t="s">
        <v>387</v>
      </c>
      <c r="C696" s="889" t="s">
        <v>1253</v>
      </c>
      <c r="D696" s="77" t="s">
        <v>333</v>
      </c>
      <c r="E696" s="105">
        <v>1.27</v>
      </c>
      <c r="F696" s="807"/>
      <c r="G696" s="88">
        <f>F696*E696</f>
        <v>0</v>
      </c>
      <c r="H696" s="1397"/>
      <c r="I696" s="1397"/>
      <c r="J696" s="1378"/>
      <c r="K696" s="1379"/>
    </row>
    <row r="697" spans="1:11">
      <c r="A697" s="296"/>
      <c r="B697" s="936" t="s">
        <v>372</v>
      </c>
      <c r="C697" s="96"/>
      <c r="D697" s="298"/>
      <c r="E697" s="299"/>
      <c r="F697" s="300"/>
      <c r="G697" s="301">
        <f>SUM(G690:G696)</f>
        <v>0</v>
      </c>
      <c r="H697" s="1422"/>
      <c r="I697" s="1422"/>
      <c r="J697" s="1378"/>
      <c r="K697" s="1379"/>
    </row>
    <row r="698" spans="1:11">
      <c r="A698" s="421"/>
      <c r="B698" s="1028"/>
      <c r="C698" s="422"/>
      <c r="D698" s="423"/>
      <c r="E698" s="416"/>
      <c r="F698" s="424"/>
      <c r="G698" s="424"/>
      <c r="H698" s="1423"/>
      <c r="I698" s="1423"/>
      <c r="J698" s="1378"/>
      <c r="K698" s="1379"/>
    </row>
    <row r="699" spans="1:11">
      <c r="A699" s="451"/>
      <c r="B699" s="938" t="s">
        <v>81</v>
      </c>
      <c r="C699" s="1188" t="s">
        <v>1244</v>
      </c>
      <c r="D699" s="452"/>
      <c r="E699" s="282"/>
      <c r="F699" s="390"/>
      <c r="G699" s="453"/>
      <c r="H699" s="1407"/>
      <c r="I699" s="1407"/>
      <c r="J699" s="1378"/>
      <c r="K699" s="1379"/>
    </row>
    <row r="700" spans="1:11">
      <c r="A700" s="349"/>
      <c r="B700" s="1007"/>
      <c r="C700" s="286"/>
      <c r="D700" s="317"/>
      <c r="E700" s="293"/>
      <c r="F700" s="294"/>
      <c r="G700" s="294"/>
      <c r="H700" s="1407"/>
      <c r="I700" s="1407"/>
      <c r="J700" s="1378"/>
      <c r="K700" s="1379"/>
    </row>
    <row r="701" spans="1:11" ht="63">
      <c r="A701" s="90" t="s">
        <v>60</v>
      </c>
      <c r="B701" s="933" t="s">
        <v>82</v>
      </c>
      <c r="C701" s="889" t="s">
        <v>1253</v>
      </c>
      <c r="D701" s="440"/>
      <c r="E701" s="441"/>
      <c r="F701" s="82"/>
      <c r="G701" s="64"/>
      <c r="H701" s="1391"/>
      <c r="I701" s="1391"/>
      <c r="J701" s="1378"/>
      <c r="K701" s="1379"/>
    </row>
    <row r="702" spans="1:11">
      <c r="A702" s="92"/>
      <c r="B702" s="933" t="s">
        <v>336</v>
      </c>
      <c r="C702" s="74"/>
      <c r="D702" s="440"/>
      <c r="E702" s="441"/>
      <c r="F702" s="82"/>
      <c r="G702" s="64"/>
      <c r="H702" s="1391"/>
      <c r="I702" s="1391"/>
      <c r="J702" s="1378"/>
      <c r="K702" s="1379"/>
    </row>
    <row r="703" spans="1:11">
      <c r="A703" s="92"/>
      <c r="B703" s="933" t="s">
        <v>337</v>
      </c>
      <c r="C703" s="74"/>
      <c r="D703" s="77" t="s">
        <v>83</v>
      </c>
      <c r="E703" s="150">
        <f>+(4.81+1.41+1.27)*130</f>
        <v>973.7</v>
      </c>
      <c r="F703" s="807"/>
      <c r="G703" s="88">
        <f>F703*E703</f>
        <v>0</v>
      </c>
      <c r="H703" s="1393"/>
      <c r="I703" s="1393"/>
      <c r="J703" s="1378"/>
      <c r="K703" s="1379"/>
    </row>
    <row r="704" spans="1:11">
      <c r="A704" s="396"/>
      <c r="B704" s="936" t="s">
        <v>84</v>
      </c>
      <c r="C704" s="96"/>
      <c r="D704" s="343"/>
      <c r="E704" s="397"/>
      <c r="F704" s="345"/>
      <c r="G704" s="301">
        <f>SUM(G703:G703)</f>
        <v>0</v>
      </c>
      <c r="H704" s="1425"/>
      <c r="I704" s="1425"/>
      <c r="J704" s="1378"/>
      <c r="K704" s="1379"/>
    </row>
    <row r="705" spans="1:11">
      <c r="A705" s="346"/>
      <c r="B705" s="1042"/>
      <c r="C705" s="479"/>
      <c r="D705" s="317"/>
      <c r="E705" s="347"/>
      <c r="F705" s="294"/>
      <c r="G705" s="342"/>
      <c r="H705" s="1407"/>
      <c r="I705" s="1407"/>
      <c r="J705" s="1378"/>
      <c r="K705" s="1379"/>
    </row>
    <row r="706" spans="1:11">
      <c r="A706" s="480"/>
      <c r="B706" s="971" t="s">
        <v>388</v>
      </c>
      <c r="C706" s="1188" t="s">
        <v>1244</v>
      </c>
      <c r="D706" s="481"/>
      <c r="E706" s="482"/>
      <c r="F706" s="483"/>
      <c r="G706" s="484"/>
      <c r="H706" s="1391"/>
      <c r="I706" s="1391"/>
      <c r="J706" s="1378"/>
      <c r="K706" s="1379"/>
    </row>
    <row r="707" spans="1:11">
      <c r="A707" s="485"/>
      <c r="B707" s="1043"/>
      <c r="C707" s="486"/>
      <c r="D707" s="254"/>
      <c r="E707" s="487"/>
      <c r="F707" s="255"/>
      <c r="G707" s="255"/>
      <c r="H707" s="1390"/>
      <c r="I707" s="1390"/>
      <c r="J707" s="1378"/>
      <c r="K707" s="1379"/>
    </row>
    <row r="708" spans="1:11" ht="110.25">
      <c r="A708" s="73">
        <v>1</v>
      </c>
      <c r="B708" s="958" t="s">
        <v>389</v>
      </c>
      <c r="C708" s="889" t="s">
        <v>1253</v>
      </c>
      <c r="D708" s="291" t="s">
        <v>282</v>
      </c>
      <c r="E708" s="150">
        <f>2*(1.25+1.5)</f>
        <v>5.5</v>
      </c>
      <c r="F708" s="807"/>
      <c r="G708" s="219">
        <f>F708*E708</f>
        <v>0</v>
      </c>
      <c r="H708" s="1392"/>
      <c r="I708" s="1392"/>
      <c r="J708" s="1378"/>
      <c r="K708" s="1379"/>
    </row>
    <row r="709" spans="1:11">
      <c r="A709" s="95"/>
      <c r="B709" s="976" t="s">
        <v>179</v>
      </c>
      <c r="C709" s="230"/>
      <c r="D709" s="155"/>
      <c r="E709" s="156"/>
      <c r="F709" s="98"/>
      <c r="G709" s="99">
        <f>SUM(G708:G708)</f>
        <v>0</v>
      </c>
      <c r="H709" s="1396"/>
      <c r="I709" s="1396"/>
      <c r="J709" s="1378"/>
      <c r="K709" s="1379"/>
    </row>
    <row r="710" spans="1:11">
      <c r="A710"/>
      <c r="B710" s="94"/>
      <c r="C710"/>
      <c r="D710"/>
      <c r="E710"/>
      <c r="F710"/>
      <c r="G710"/>
      <c r="H710" s="1394"/>
      <c r="I710" s="1395"/>
      <c r="J710" s="1378"/>
      <c r="K710" s="1379"/>
    </row>
    <row r="711" spans="1:11">
      <c r="A711" s="188"/>
      <c r="B711" s="931" t="s">
        <v>390</v>
      </c>
      <c r="C711" s="660"/>
      <c r="D711" s="189"/>
      <c r="E711" s="171"/>
      <c r="F711" s="171"/>
      <c r="G711" s="110"/>
      <c r="H711" s="1398"/>
      <c r="I711" s="1398"/>
      <c r="J711" s="1378"/>
      <c r="K711" s="1379"/>
    </row>
    <row r="712" spans="1:11" ht="78.75">
      <c r="A712" s="178">
        <v>1</v>
      </c>
      <c r="B712" s="1038" t="s">
        <v>391</v>
      </c>
      <c r="C712" s="889" t="s">
        <v>1253</v>
      </c>
      <c r="D712" s="80" t="s">
        <v>11</v>
      </c>
      <c r="E712" s="107">
        <v>1</v>
      </c>
      <c r="F712" s="807"/>
      <c r="G712" s="88">
        <f>F712*E712</f>
        <v>0</v>
      </c>
      <c r="H712" s="1393"/>
      <c r="I712" s="1393"/>
      <c r="J712" s="1378"/>
      <c r="K712" s="1379"/>
    </row>
    <row r="713" spans="1:11">
      <c r="A713" s="207"/>
      <c r="B713" s="1039"/>
      <c r="C713" s="473"/>
      <c r="D713" s="419"/>
      <c r="E713" s="212"/>
      <c r="F713" s="210"/>
      <c r="G713" s="210"/>
      <c r="H713" s="1391"/>
      <c r="I713" s="1391"/>
      <c r="J713" s="1378"/>
      <c r="K713" s="1379"/>
    </row>
    <row r="714" spans="1:11" ht="47.25">
      <c r="A714" s="73">
        <v>3</v>
      </c>
      <c r="B714" s="944" t="s">
        <v>392</v>
      </c>
      <c r="C714" s="889" t="s">
        <v>1253</v>
      </c>
      <c r="D714" s="80" t="s">
        <v>11</v>
      </c>
      <c r="E714" s="81">
        <v>1</v>
      </c>
      <c r="F714" s="807"/>
      <c r="G714" s="82">
        <f>F714*E714</f>
        <v>0</v>
      </c>
      <c r="H714" s="1393"/>
      <c r="I714" s="1393"/>
      <c r="J714" s="1378"/>
      <c r="K714" s="1379"/>
    </row>
    <row r="715" spans="1:11">
      <c r="A715" s="194"/>
      <c r="B715" s="936" t="s">
        <v>245</v>
      </c>
      <c r="C715" s="96"/>
      <c r="D715" s="195"/>
      <c r="E715" s="197"/>
      <c r="F715" s="197"/>
      <c r="G715" s="99">
        <f>SUM(G712:G714)</f>
        <v>0</v>
      </c>
      <c r="H715" s="1401"/>
      <c r="I715" s="1401"/>
      <c r="J715" s="1378"/>
      <c r="K715" s="1379"/>
    </row>
    <row r="716" spans="1:11">
      <c r="A716" s="237"/>
      <c r="B716" s="930"/>
      <c r="C716" s="100"/>
      <c r="D716" s="131"/>
      <c r="E716" s="153"/>
      <c r="F716" s="88"/>
      <c r="G716" s="174"/>
      <c r="H716" s="1391"/>
      <c r="I716" s="1391"/>
      <c r="J716" s="1378"/>
      <c r="K716" s="1379"/>
    </row>
    <row r="717" spans="1:11">
      <c r="A717" s="237"/>
      <c r="B717" s="1041"/>
      <c r="C717" s="476"/>
      <c r="D717" s="131"/>
      <c r="E717" s="153"/>
      <c r="F717" s="88"/>
      <c r="G717" s="174"/>
      <c r="H717" s="1391"/>
      <c r="I717" s="1391"/>
      <c r="J717" s="1378"/>
      <c r="K717" s="1379"/>
    </row>
    <row r="718" spans="1:11" ht="15.75" customHeight="1">
      <c r="A718" s="262"/>
      <c r="B718" s="1507" t="s">
        <v>393</v>
      </c>
      <c r="C718" s="1507"/>
      <c r="D718" s="1507"/>
      <c r="E718" s="1507"/>
      <c r="F718" s="1507"/>
      <c r="G718" s="447"/>
      <c r="H718" s="1374"/>
      <c r="I718" s="1389"/>
      <c r="J718" s="1378"/>
      <c r="K718" s="1379"/>
    </row>
    <row r="719" spans="1:11">
      <c r="A719" s="351" t="s">
        <v>247</v>
      </c>
      <c r="B719" s="1034" t="s">
        <v>248</v>
      </c>
      <c r="C719" s="448"/>
      <c r="D719" s="131"/>
      <c r="E719" s="153"/>
      <c r="F719" s="88"/>
      <c r="G719" s="88">
        <f>G686</f>
        <v>0</v>
      </c>
      <c r="H719" s="1391"/>
      <c r="I719" s="1391"/>
      <c r="J719" s="1378"/>
      <c r="K719" s="1379"/>
    </row>
    <row r="720" spans="1:11">
      <c r="A720" s="351" t="s">
        <v>249</v>
      </c>
      <c r="B720" s="1034" t="s">
        <v>338</v>
      </c>
      <c r="C720" s="449"/>
      <c r="D720" s="131"/>
      <c r="E720" s="153"/>
      <c r="F720" s="88"/>
      <c r="G720" s="88">
        <f>G697</f>
        <v>0</v>
      </c>
      <c r="H720" s="1391"/>
      <c r="I720" s="1391"/>
      <c r="J720" s="1378"/>
      <c r="K720" s="1379"/>
    </row>
    <row r="721" spans="1:245">
      <c r="A721" s="351" t="s">
        <v>251</v>
      </c>
      <c r="B721" s="1034" t="s">
        <v>252</v>
      </c>
      <c r="C721" s="448"/>
      <c r="D721" s="131"/>
      <c r="E721" s="153"/>
      <c r="F721" s="88"/>
      <c r="G721" s="88">
        <f>G704</f>
        <v>0</v>
      </c>
      <c r="H721" s="1391"/>
      <c r="I721" s="1391"/>
      <c r="J721" s="1378"/>
      <c r="K721" s="1379"/>
    </row>
    <row r="722" spans="1:245">
      <c r="A722" s="351" t="s">
        <v>253</v>
      </c>
      <c r="B722" s="1034" t="s">
        <v>262</v>
      </c>
      <c r="C722" s="448"/>
      <c r="D722" s="131"/>
      <c r="E722" s="153"/>
      <c r="F722" s="88"/>
      <c r="G722" s="88">
        <f>G709</f>
        <v>0</v>
      </c>
      <c r="H722" s="1391"/>
      <c r="I722" s="1391"/>
      <c r="J722" s="1378"/>
      <c r="K722" s="1379"/>
    </row>
    <row r="723" spans="1:245">
      <c r="A723" s="351" t="s">
        <v>257</v>
      </c>
      <c r="B723" s="1034" t="s">
        <v>273</v>
      </c>
      <c r="C723" s="448"/>
      <c r="D723" s="131"/>
      <c r="E723" s="153"/>
      <c r="F723" s="88"/>
      <c r="G723" s="88">
        <f>G715</f>
        <v>0</v>
      </c>
      <c r="H723" s="1391"/>
      <c r="I723" s="1391"/>
      <c r="J723" s="1378"/>
      <c r="K723" s="1379"/>
    </row>
    <row r="724" spans="1:245">
      <c r="A724" s="95"/>
      <c r="B724" s="936" t="s">
        <v>394</v>
      </c>
      <c r="C724" s="96"/>
      <c r="D724" s="155"/>
      <c r="E724" s="98"/>
      <c r="F724" s="98"/>
      <c r="G724" s="99">
        <f>SUM(G719:G723)</f>
        <v>0</v>
      </c>
      <c r="H724" s="1396"/>
      <c r="I724" s="1396"/>
      <c r="J724" s="1378"/>
      <c r="K724" s="1379"/>
    </row>
    <row r="725" spans="1:245">
      <c r="J725" s="1378"/>
      <c r="K725" s="1379"/>
    </row>
    <row r="726" spans="1:245">
      <c r="J726" s="1378"/>
      <c r="K726" s="1379"/>
    </row>
    <row r="727" spans="1:245">
      <c r="A727" s="789"/>
      <c r="B727" s="929" t="s">
        <v>395</v>
      </c>
      <c r="C727" s="788"/>
      <c r="D727" s="790"/>
      <c r="E727" s="791"/>
      <c r="F727" s="792"/>
      <c r="G727" s="793"/>
      <c r="H727" s="1415"/>
      <c r="I727" s="1415"/>
      <c r="J727" s="1378"/>
      <c r="K727" s="1379"/>
    </row>
    <row r="728" spans="1:245">
      <c r="A728" s="273"/>
      <c r="B728" s="1006"/>
      <c r="C728" s="279"/>
      <c r="D728" s="274"/>
      <c r="E728" s="275"/>
      <c r="F728" s="276"/>
      <c r="G728" s="277"/>
      <c r="H728" s="1416"/>
      <c r="I728" s="1416"/>
      <c r="J728" s="1378"/>
      <c r="K728" s="1379"/>
    </row>
    <row r="729" spans="1:245" s="771" customFormat="1" ht="30">
      <c r="A729" s="766" t="s">
        <v>891</v>
      </c>
      <c r="B729" s="920" t="s">
        <v>892</v>
      </c>
      <c r="C729" s="768" t="s">
        <v>894</v>
      </c>
      <c r="D729" s="768" t="s">
        <v>1</v>
      </c>
      <c r="E729" s="769" t="s">
        <v>893</v>
      </c>
      <c r="F729" s="769" t="s">
        <v>1234</v>
      </c>
      <c r="G729" s="769" t="s">
        <v>1233</v>
      </c>
      <c r="H729" s="1375"/>
      <c r="I729" s="1376"/>
      <c r="J729" s="1378"/>
      <c r="K729" s="1379"/>
      <c r="L729" s="770"/>
      <c r="M729" s="770"/>
      <c r="N729" s="770"/>
      <c r="O729" s="770"/>
      <c r="P729" s="770"/>
      <c r="Q729" s="770"/>
      <c r="R729" s="770"/>
      <c r="S729" s="770"/>
      <c r="T729" s="770"/>
      <c r="U729" s="770"/>
      <c r="V729" s="770"/>
      <c r="W729" s="770"/>
      <c r="X729" s="770"/>
      <c r="Y729" s="770"/>
      <c r="Z729" s="770"/>
      <c r="AA729" s="770"/>
      <c r="AB729" s="770"/>
      <c r="AC729" s="770"/>
      <c r="AD729" s="770"/>
      <c r="AE729" s="770"/>
      <c r="AF729" s="770"/>
      <c r="AG729" s="770"/>
      <c r="AH729" s="770"/>
      <c r="AI729" s="770"/>
      <c r="AJ729" s="770"/>
      <c r="AK729" s="770"/>
      <c r="AL729" s="770"/>
      <c r="AM729" s="770"/>
      <c r="AN729" s="770"/>
      <c r="AO729" s="770"/>
      <c r="AP729" s="770"/>
      <c r="AQ729" s="770"/>
      <c r="AR729" s="770"/>
      <c r="AS729" s="770"/>
      <c r="AT729" s="770"/>
      <c r="AU729" s="770"/>
      <c r="AV729" s="770"/>
      <c r="AW729" s="770"/>
      <c r="AX729" s="770"/>
      <c r="AY729" s="770"/>
      <c r="AZ729" s="770"/>
      <c r="BA729" s="770"/>
      <c r="BB729" s="770"/>
      <c r="BC729" s="770"/>
      <c r="BD729" s="770"/>
      <c r="BE729" s="770"/>
      <c r="BF729" s="770"/>
      <c r="BG729" s="770"/>
      <c r="BH729" s="770"/>
      <c r="BI729" s="770"/>
      <c r="BJ729" s="770"/>
      <c r="BK729" s="770"/>
      <c r="BL729" s="770"/>
      <c r="BM729" s="770"/>
      <c r="BN729" s="770"/>
      <c r="BO729" s="770"/>
      <c r="BP729" s="770"/>
      <c r="BQ729" s="770"/>
      <c r="BR729" s="770"/>
      <c r="BS729" s="770"/>
      <c r="BT729" s="770"/>
      <c r="BU729" s="770"/>
      <c r="BV729" s="770"/>
      <c r="BW729" s="770"/>
      <c r="BX729" s="770"/>
      <c r="BY729" s="770"/>
      <c r="BZ729" s="770"/>
      <c r="CA729" s="770"/>
      <c r="CB729" s="770"/>
      <c r="CC729" s="770"/>
      <c r="CD729" s="770"/>
      <c r="CE729" s="770"/>
      <c r="CF729" s="770"/>
      <c r="CG729" s="770"/>
      <c r="CH729" s="770"/>
      <c r="CI729" s="770"/>
      <c r="CJ729" s="770"/>
      <c r="CK729" s="770"/>
      <c r="CL729" s="770"/>
      <c r="CM729" s="770"/>
      <c r="CN729" s="770"/>
      <c r="CO729" s="770"/>
      <c r="CP729" s="770"/>
      <c r="CQ729" s="770"/>
      <c r="CR729" s="770"/>
      <c r="CS729" s="770"/>
      <c r="CT729" s="770"/>
      <c r="CU729" s="770"/>
      <c r="CV729" s="770"/>
      <c r="CW729" s="770"/>
      <c r="CX729" s="770"/>
      <c r="CY729" s="770"/>
      <c r="CZ729" s="770"/>
      <c r="DA729" s="770"/>
      <c r="DB729" s="770"/>
      <c r="DC729" s="770"/>
      <c r="DD729" s="770"/>
      <c r="DE729" s="770"/>
      <c r="DF729" s="770"/>
      <c r="DG729" s="770"/>
      <c r="DH729" s="770"/>
      <c r="DI729" s="770"/>
      <c r="DJ729" s="770"/>
      <c r="DK729" s="770"/>
      <c r="DL729" s="770"/>
      <c r="DM729" s="770"/>
      <c r="DN729" s="770"/>
      <c r="DO729" s="770"/>
      <c r="DP729" s="770"/>
      <c r="DQ729" s="770"/>
      <c r="DR729" s="770"/>
      <c r="DS729" s="770"/>
      <c r="DT729" s="770"/>
      <c r="DU729" s="770"/>
      <c r="DV729" s="770"/>
      <c r="DW729" s="770"/>
      <c r="DX729" s="770"/>
      <c r="DY729" s="770"/>
      <c r="DZ729" s="770"/>
      <c r="EA729" s="770"/>
      <c r="EB729" s="770"/>
      <c r="EC729" s="770"/>
      <c r="ED729" s="770"/>
      <c r="EE729" s="770"/>
      <c r="EF729" s="770"/>
      <c r="EG729" s="770"/>
      <c r="EH729" s="770"/>
      <c r="EI729" s="770"/>
      <c r="EJ729" s="770"/>
      <c r="EK729" s="770"/>
      <c r="EL729" s="770"/>
      <c r="EM729" s="770"/>
      <c r="EN729" s="770"/>
      <c r="EO729" s="770"/>
      <c r="EP729" s="770"/>
      <c r="EQ729" s="770"/>
      <c r="ER729" s="770"/>
      <c r="ES729" s="770"/>
      <c r="ET729" s="770"/>
      <c r="EU729" s="770"/>
      <c r="EV729" s="770"/>
      <c r="EW729" s="770"/>
      <c r="EX729" s="770"/>
      <c r="EY729" s="770"/>
      <c r="EZ729" s="770"/>
      <c r="FA729" s="770"/>
      <c r="FB729" s="770"/>
      <c r="FC729" s="770"/>
      <c r="FD729" s="770"/>
      <c r="FE729" s="770"/>
      <c r="FF729" s="770"/>
      <c r="FG729" s="770"/>
      <c r="FH729" s="770"/>
      <c r="FI729" s="770"/>
      <c r="FJ729" s="770"/>
      <c r="FK729" s="770"/>
      <c r="FL729" s="770"/>
      <c r="FM729" s="770"/>
      <c r="FN729" s="770"/>
      <c r="FO729" s="770"/>
      <c r="FP729" s="770"/>
      <c r="FQ729" s="770"/>
      <c r="FR729" s="770"/>
      <c r="FS729" s="770"/>
      <c r="FT729" s="770"/>
      <c r="FU729" s="770"/>
      <c r="FV729" s="770"/>
      <c r="FW729" s="770"/>
      <c r="FX729" s="770"/>
      <c r="FY729" s="770"/>
      <c r="FZ729" s="770"/>
      <c r="GA729" s="770"/>
      <c r="GB729" s="770"/>
      <c r="GC729" s="770"/>
      <c r="GD729" s="770"/>
      <c r="GE729" s="770"/>
      <c r="GF729" s="770"/>
      <c r="GG729" s="770"/>
      <c r="GH729" s="770"/>
      <c r="GI729" s="770"/>
      <c r="GJ729" s="770"/>
      <c r="GK729" s="770"/>
      <c r="GL729" s="770"/>
      <c r="GM729" s="770"/>
      <c r="GN729" s="770"/>
      <c r="GO729" s="770"/>
      <c r="GP729" s="770"/>
      <c r="GQ729" s="770"/>
      <c r="GR729" s="770"/>
      <c r="GS729" s="770"/>
      <c r="GT729" s="770"/>
      <c r="GU729" s="770"/>
      <c r="GV729" s="770"/>
      <c r="GW729" s="770"/>
      <c r="GX729" s="770"/>
      <c r="GY729" s="770"/>
      <c r="GZ729" s="770"/>
      <c r="HA729" s="770"/>
      <c r="HB729" s="770"/>
      <c r="HC729" s="770"/>
      <c r="HD729" s="770"/>
      <c r="HE729" s="770"/>
      <c r="HF729" s="770"/>
      <c r="HG729" s="770"/>
      <c r="HH729" s="770"/>
      <c r="HI729" s="770"/>
      <c r="HJ729" s="770"/>
      <c r="HK729" s="770"/>
      <c r="HL729" s="770"/>
      <c r="HM729" s="770"/>
      <c r="HN729" s="770"/>
      <c r="HO729" s="770"/>
      <c r="HP729" s="770"/>
      <c r="HQ729" s="770"/>
      <c r="HR729" s="770"/>
      <c r="HS729" s="770"/>
      <c r="HT729" s="770"/>
      <c r="HU729" s="770"/>
      <c r="HV729" s="770"/>
      <c r="HW729" s="770"/>
      <c r="HX729" s="770"/>
      <c r="HY729" s="770"/>
      <c r="HZ729" s="770"/>
      <c r="IA729" s="770"/>
      <c r="IB729" s="770"/>
      <c r="IC729" s="770"/>
      <c r="ID729" s="770"/>
      <c r="IE729" s="770"/>
      <c r="IF729" s="770"/>
      <c r="IG729" s="770"/>
      <c r="IH729" s="770"/>
      <c r="II729" s="770"/>
      <c r="IJ729" s="770"/>
      <c r="IK729" s="770"/>
    </row>
    <row r="730" spans="1:245">
      <c r="A730" s="405"/>
      <c r="B730" s="1025"/>
      <c r="C730" s="406"/>
      <c r="D730" s="406"/>
      <c r="E730" s="407"/>
      <c r="F730" s="408"/>
      <c r="G730" s="409"/>
      <c r="H730" s="1416"/>
      <c r="I730" s="1416"/>
      <c r="J730" s="1378"/>
      <c r="K730" s="1379"/>
    </row>
    <row r="731" spans="1:245">
      <c r="A731" s="280"/>
      <c r="B731" s="948" t="s">
        <v>276</v>
      </c>
      <c r="C731" s="1190" t="s">
        <v>1272</v>
      </c>
      <c r="D731" s="281"/>
      <c r="E731" s="282"/>
      <c r="F731" s="283"/>
      <c r="G731" s="284"/>
      <c r="H731" s="1417"/>
      <c r="I731" s="1417"/>
      <c r="J731" s="1378"/>
      <c r="K731" s="1379"/>
    </row>
    <row r="732" spans="1:245">
      <c r="A732" s="474"/>
      <c r="B732" s="1040"/>
      <c r="C732" s="412"/>
      <c r="D732" s="337"/>
      <c r="E732" s="338"/>
      <c r="F732" s="341"/>
      <c r="G732" s="341"/>
      <c r="H732" s="1417"/>
      <c r="I732" s="1417"/>
      <c r="J732" s="1378"/>
      <c r="K732" s="1379"/>
    </row>
    <row r="733" spans="1:245" ht="31.5">
      <c r="A733" s="90" t="s">
        <v>60</v>
      </c>
      <c r="B733" s="933" t="s">
        <v>378</v>
      </c>
      <c r="C733" s="889" t="s">
        <v>1254</v>
      </c>
      <c r="D733" s="291" t="s">
        <v>282</v>
      </c>
      <c r="E733" s="106">
        <f>+(0.6+3+0.6)*(0.6+3.6+0.6)</f>
        <v>20.16</v>
      </c>
      <c r="F733" s="807"/>
      <c r="G733" s="85">
        <f>F733*E733</f>
        <v>0</v>
      </c>
      <c r="H733" s="1392"/>
      <c r="I733" s="1392"/>
      <c r="J733" s="1378"/>
      <c r="K733" s="1379"/>
    </row>
    <row r="734" spans="1:245">
      <c r="A734" s="417"/>
      <c r="B734" s="1027"/>
      <c r="C734" s="418"/>
      <c r="D734" s="86"/>
      <c r="E734" s="83"/>
      <c r="F734" s="86"/>
      <c r="G734" s="86"/>
      <c r="H734" s="1421"/>
      <c r="I734" s="1421"/>
      <c r="J734" s="1378"/>
      <c r="K734" s="1379"/>
    </row>
    <row r="735" spans="1:245" ht="63">
      <c r="A735" s="90" t="s">
        <v>63</v>
      </c>
      <c r="B735" s="933" t="s">
        <v>396</v>
      </c>
      <c r="C735" s="889" t="s">
        <v>1254</v>
      </c>
      <c r="D735" s="87" t="s">
        <v>51</v>
      </c>
      <c r="E735" s="105">
        <f>+((0.85+1.2)/2*0.35*(6.3+2.95+3.6+0.85+2.7+2.1))</f>
        <v>6.636874999999999</v>
      </c>
      <c r="F735" s="807"/>
      <c r="G735" s="88">
        <f>F735*E735</f>
        <v>0</v>
      </c>
      <c r="H735" s="1393"/>
      <c r="I735" s="1393"/>
      <c r="J735" s="1378"/>
      <c r="K735" s="1379"/>
    </row>
    <row r="736" spans="1:245">
      <c r="A736" s="417"/>
      <c r="B736" s="1027"/>
      <c r="C736" s="418"/>
      <c r="D736" s="106"/>
      <c r="E736" s="105"/>
      <c r="F736" s="88"/>
      <c r="G736" s="88"/>
      <c r="H736" s="1391"/>
      <c r="I736" s="1391"/>
      <c r="J736" s="1378"/>
      <c r="K736" s="1379"/>
    </row>
    <row r="737" spans="1:11" ht="63">
      <c r="A737" s="90" t="s">
        <v>65</v>
      </c>
      <c r="B737" s="933" t="s">
        <v>380</v>
      </c>
      <c r="C737" s="889" t="s">
        <v>1254</v>
      </c>
      <c r="D737" s="87" t="s">
        <v>51</v>
      </c>
      <c r="E737" s="105">
        <v>8.01</v>
      </c>
      <c r="F737" s="807"/>
      <c r="G737" s="88">
        <f>F737*E737</f>
        <v>0</v>
      </c>
      <c r="H737" s="1393"/>
      <c r="I737" s="1393"/>
      <c r="J737" s="1378"/>
      <c r="K737" s="1379"/>
    </row>
    <row r="738" spans="1:11">
      <c r="A738" s="417"/>
      <c r="B738" s="1027"/>
      <c r="C738" s="418"/>
      <c r="D738" s="106"/>
      <c r="E738" s="107"/>
      <c r="F738" s="88"/>
      <c r="G738" s="88"/>
      <c r="H738" s="1391"/>
      <c r="I738" s="1391"/>
      <c r="J738" s="1378"/>
      <c r="K738" s="1379"/>
    </row>
    <row r="739" spans="1:11" ht="78.75">
      <c r="A739" s="90" t="s">
        <v>381</v>
      </c>
      <c r="B739" s="933" t="s">
        <v>397</v>
      </c>
      <c r="C739" s="889" t="s">
        <v>1254</v>
      </c>
      <c r="D739" s="87" t="s">
        <v>51</v>
      </c>
      <c r="E739" s="105">
        <f>2.1*0.3*(1.13+1.42)+0.3*0.9*2.1</f>
        <v>2.1734999999999998</v>
      </c>
      <c r="F739" s="807"/>
      <c r="G739" s="88">
        <f>F739*E739</f>
        <v>0</v>
      </c>
      <c r="H739" s="1393"/>
      <c r="I739" s="1393"/>
      <c r="J739" s="1378"/>
      <c r="K739" s="1379"/>
    </row>
    <row r="740" spans="1:11">
      <c r="A740" s="417"/>
      <c r="B740" s="1027"/>
      <c r="C740" s="418"/>
      <c r="D740" s="420"/>
      <c r="E740" s="210"/>
      <c r="F740" s="210"/>
      <c r="G740" s="210"/>
      <c r="H740" s="1391"/>
      <c r="I740" s="1391"/>
      <c r="J740" s="1378"/>
      <c r="K740" s="1379"/>
    </row>
    <row r="741" spans="1:11" ht="78.75">
      <c r="A741" s="90" t="s">
        <v>368</v>
      </c>
      <c r="B741" s="933" t="s">
        <v>357</v>
      </c>
      <c r="C741" s="889" t="s">
        <v>1254</v>
      </c>
      <c r="D741" s="87" t="s">
        <v>51</v>
      </c>
      <c r="E741" s="150">
        <f>+(1.85*2.5)*1.25+(1.13*1.2)*1.25+(0.6+1.25)/2*1.2*1.57</f>
        <v>9.2189499999999995</v>
      </c>
      <c r="F741" s="807"/>
      <c r="G741" s="88">
        <f>F741*E741</f>
        <v>0</v>
      </c>
      <c r="H741" s="1393"/>
      <c r="I741" s="1393"/>
      <c r="J741" s="1378"/>
      <c r="K741" s="1379"/>
    </row>
    <row r="742" spans="1:11">
      <c r="A742" s="417"/>
      <c r="B742" s="1027"/>
      <c r="C742" s="418"/>
      <c r="D742" s="86"/>
      <c r="E742" s="83"/>
      <c r="F742" s="86"/>
      <c r="G742" s="86"/>
      <c r="H742" s="1421"/>
      <c r="I742" s="1421"/>
      <c r="J742" s="1378"/>
      <c r="K742" s="1379"/>
    </row>
    <row r="743" spans="1:11" ht="94.5">
      <c r="A743" s="90" t="s">
        <v>70</v>
      </c>
      <c r="B743" s="933" t="s">
        <v>398</v>
      </c>
      <c r="C743" s="889" t="s">
        <v>1254</v>
      </c>
      <c r="D743" s="87" t="s">
        <v>51</v>
      </c>
      <c r="E743" s="150">
        <f>+(1.2+1.8)/2*0.6*2*(2.4+5.6)</f>
        <v>14.399999999999999</v>
      </c>
      <c r="F743" s="807"/>
      <c r="G743" s="88">
        <f>F743*E743</f>
        <v>0</v>
      </c>
      <c r="H743" s="1393"/>
      <c r="I743" s="1393"/>
      <c r="J743" s="1378"/>
      <c r="K743" s="1379"/>
    </row>
    <row r="744" spans="1:11">
      <c r="A744" s="296"/>
      <c r="B744" s="976" t="s">
        <v>58</v>
      </c>
      <c r="C744" s="297"/>
      <c r="D744" s="298"/>
      <c r="E744" s="299"/>
      <c r="F744" s="300"/>
      <c r="G744" s="301">
        <f>SUM(G733:G743)</f>
        <v>0</v>
      </c>
      <c r="H744" s="1422"/>
      <c r="I744" s="1422"/>
      <c r="J744" s="1378"/>
      <c r="K744" s="1379"/>
    </row>
    <row r="745" spans="1:11">
      <c r="A745" s="421"/>
      <c r="B745" s="1028"/>
      <c r="C745" s="422"/>
      <c r="D745" s="423"/>
      <c r="E745" s="416"/>
      <c r="F745" s="424"/>
      <c r="G745" s="424"/>
      <c r="H745" s="1423"/>
      <c r="I745" s="1423"/>
      <c r="J745" s="1378"/>
      <c r="K745" s="1379"/>
    </row>
    <row r="746" spans="1:11">
      <c r="A746" s="421"/>
      <c r="B746" s="1028"/>
      <c r="C746" s="422"/>
      <c r="D746" s="423"/>
      <c r="E746" s="416"/>
      <c r="F746" s="424"/>
      <c r="G746" s="424"/>
      <c r="H746" s="1423"/>
      <c r="I746" s="1423"/>
      <c r="J746" s="1378"/>
      <c r="K746" s="1379"/>
    </row>
    <row r="747" spans="1:11" ht="47.25">
      <c r="A747" s="280"/>
      <c r="B747" s="948" t="s">
        <v>59</v>
      </c>
      <c r="C747" s="1188" t="s">
        <v>1244</v>
      </c>
      <c r="D747" s="450"/>
      <c r="E747" s="389"/>
      <c r="F747" s="390"/>
      <c r="G747" s="353"/>
      <c r="H747" s="1407"/>
      <c r="I747" s="1407"/>
      <c r="J747" s="1378"/>
      <c r="K747" s="1379"/>
    </row>
    <row r="748" spans="1:11">
      <c r="A748" s="346"/>
      <c r="B748" s="1007"/>
      <c r="C748" s="286"/>
      <c r="D748" s="317"/>
      <c r="E748" s="105"/>
      <c r="F748" s="294"/>
      <c r="G748" s="294"/>
      <c r="H748" s="1407"/>
      <c r="I748" s="1407"/>
      <c r="J748" s="1378"/>
      <c r="K748" s="1379"/>
    </row>
    <row r="749" spans="1:11" ht="94.5">
      <c r="A749" s="237">
        <v>1</v>
      </c>
      <c r="B749" s="933" t="s">
        <v>384</v>
      </c>
      <c r="C749" s="889" t="s">
        <v>1254</v>
      </c>
      <c r="D749" s="291" t="s">
        <v>282</v>
      </c>
      <c r="E749" s="105">
        <v>15.64</v>
      </c>
      <c r="F749" s="807"/>
      <c r="G749" s="88">
        <f>F749*E749</f>
        <v>0</v>
      </c>
      <c r="H749" s="1393"/>
      <c r="I749" s="1393"/>
      <c r="J749" s="1378"/>
      <c r="K749" s="1379"/>
    </row>
    <row r="750" spans="1:11">
      <c r="A750" s="173"/>
      <c r="B750" s="934"/>
      <c r="C750" s="79"/>
      <c r="D750" s="131"/>
      <c r="E750" s="132"/>
      <c r="F750" s="130"/>
      <c r="G750" s="88"/>
      <c r="H750" s="1434"/>
      <c r="I750" s="1435"/>
      <c r="J750" s="1378"/>
      <c r="K750" s="1379"/>
    </row>
    <row r="751" spans="1:11" ht="63">
      <c r="A751" s="351">
        <v>2</v>
      </c>
      <c r="B751" s="1003" t="s">
        <v>385</v>
      </c>
      <c r="C751" s="889" t="s">
        <v>1254</v>
      </c>
      <c r="D751" s="77" t="s">
        <v>333</v>
      </c>
      <c r="E751" s="135">
        <f>+(0.25*1.55*2*(3+1.85))+2*(0.15*((1.15*1.63)+(1.63+1)/2*1.25))</f>
        <v>4.8142250000000004</v>
      </c>
      <c r="F751" s="807"/>
      <c r="G751" s="88">
        <f>F751*E751</f>
        <v>0</v>
      </c>
      <c r="H751" s="1393"/>
      <c r="I751" s="1393"/>
      <c r="J751" s="1378"/>
      <c r="K751" s="1379"/>
    </row>
    <row r="752" spans="1:11">
      <c r="A752" s="173"/>
      <c r="B752" s="934"/>
      <c r="C752" s="79"/>
      <c r="D752" s="147"/>
      <c r="E752" s="148"/>
      <c r="F752" s="149"/>
      <c r="G752" s="149"/>
      <c r="H752" s="1391"/>
      <c r="I752" s="1391"/>
      <c r="J752" s="1378"/>
      <c r="K752" s="1379"/>
    </row>
    <row r="753" spans="1:11" ht="63">
      <c r="A753" s="351">
        <v>3</v>
      </c>
      <c r="B753" s="933" t="s">
        <v>386</v>
      </c>
      <c r="C753" s="889" t="s">
        <v>1254</v>
      </c>
      <c r="D753" s="77" t="s">
        <v>333</v>
      </c>
      <c r="E753" s="105">
        <f>3*2.35*0.2</f>
        <v>1.4100000000000001</v>
      </c>
      <c r="F753" s="807"/>
      <c r="G753" s="88">
        <f>F753*E753</f>
        <v>0</v>
      </c>
      <c r="H753" s="1397"/>
      <c r="I753" s="1397"/>
      <c r="J753" s="1378"/>
      <c r="K753" s="1379"/>
    </row>
    <row r="754" spans="1:11">
      <c r="A754" s="173"/>
      <c r="B754" s="934"/>
      <c r="C754" s="79"/>
      <c r="D754" s="478"/>
      <c r="E754" s="105"/>
      <c r="F754" s="139"/>
      <c r="G754" s="88"/>
      <c r="H754" s="1408"/>
      <c r="I754" s="1408"/>
      <c r="J754" s="1378"/>
      <c r="K754" s="1379"/>
    </row>
    <row r="755" spans="1:11" ht="64.5" customHeight="1">
      <c r="A755" s="178">
        <v>4</v>
      </c>
      <c r="B755" s="958" t="s">
        <v>387</v>
      </c>
      <c r="C755" s="889" t="s">
        <v>1254</v>
      </c>
      <c r="D755" s="77" t="s">
        <v>333</v>
      </c>
      <c r="E755" s="105">
        <v>1.27</v>
      </c>
      <c r="F755" s="807"/>
      <c r="G755" s="88">
        <f>F755*E755</f>
        <v>0</v>
      </c>
      <c r="H755" s="1397"/>
      <c r="I755" s="1397"/>
      <c r="J755" s="1378"/>
      <c r="K755" s="1379"/>
    </row>
    <row r="756" spans="1:11">
      <c r="A756" s="296"/>
      <c r="B756" s="936" t="s">
        <v>372</v>
      </c>
      <c r="C756" s="96"/>
      <c r="D756" s="298"/>
      <c r="E756" s="299"/>
      <c r="F756" s="300"/>
      <c r="G756" s="301">
        <f>SUM(G749:G755)</f>
        <v>0</v>
      </c>
      <c r="H756" s="1422"/>
      <c r="I756" s="1422"/>
      <c r="J756" s="1378"/>
      <c r="K756" s="1379"/>
    </row>
    <row r="757" spans="1:11">
      <c r="A757" s="336"/>
      <c r="B757" s="1044"/>
      <c r="C757" s="488"/>
      <c r="D757" s="340"/>
      <c r="E757" s="341"/>
      <c r="F757" s="342"/>
      <c r="G757" s="342"/>
      <c r="H757" s="1423"/>
      <c r="I757" s="1423"/>
      <c r="J757" s="1378"/>
      <c r="K757" s="1379"/>
    </row>
    <row r="758" spans="1:11">
      <c r="A758" s="451"/>
      <c r="B758" s="938" t="s">
        <v>81</v>
      </c>
      <c r="C758" s="1188" t="s">
        <v>1244</v>
      </c>
      <c r="D758" s="452"/>
      <c r="E758" s="282"/>
      <c r="F758" s="390"/>
      <c r="G758" s="453"/>
      <c r="H758" s="1407"/>
      <c r="I758" s="1407"/>
      <c r="J758" s="1378"/>
      <c r="K758" s="1379"/>
    </row>
    <row r="759" spans="1:11">
      <c r="A759" s="349"/>
      <c r="B759" s="1007"/>
      <c r="C759" s="286"/>
      <c r="D759" s="317"/>
      <c r="E759" s="293"/>
      <c r="F759" s="294"/>
      <c r="G759" s="294"/>
      <c r="H759" s="1407"/>
      <c r="I759" s="1407"/>
      <c r="J759" s="1378"/>
      <c r="K759" s="1379"/>
    </row>
    <row r="760" spans="1:11" ht="63">
      <c r="A760" s="90" t="s">
        <v>60</v>
      </c>
      <c r="B760" s="933" t="s">
        <v>284</v>
      </c>
      <c r="C760" s="889" t="s">
        <v>1254</v>
      </c>
      <c r="D760" s="440"/>
      <c r="E760" s="441"/>
      <c r="F760" s="82"/>
      <c r="G760" s="64"/>
      <c r="H760" s="1391"/>
      <c r="I760" s="1391"/>
      <c r="J760" s="1378"/>
      <c r="K760" s="1379"/>
    </row>
    <row r="761" spans="1:11">
      <c r="A761" s="92"/>
      <c r="B761" s="933" t="s">
        <v>336</v>
      </c>
      <c r="C761" s="74"/>
      <c r="D761" s="440"/>
      <c r="E761" s="441"/>
      <c r="F761" s="82"/>
      <c r="G761" s="64"/>
      <c r="H761" s="1391"/>
      <c r="I761" s="1391"/>
      <c r="J761" s="1378"/>
      <c r="K761" s="1379"/>
    </row>
    <row r="762" spans="1:11">
      <c r="A762" s="92"/>
      <c r="B762" s="933" t="s">
        <v>337</v>
      </c>
      <c r="C762" s="74"/>
      <c r="D762" s="77" t="s">
        <v>83</v>
      </c>
      <c r="E762" s="295">
        <f>+(4.81+1.41+1.27)*130</f>
        <v>973.7</v>
      </c>
      <c r="F762" s="807"/>
      <c r="G762" s="88">
        <f>F762*E762</f>
        <v>0</v>
      </c>
      <c r="H762" s="1393"/>
      <c r="I762" s="1393"/>
      <c r="J762" s="1378"/>
      <c r="K762" s="1379"/>
    </row>
    <row r="763" spans="1:11">
      <c r="A763" s="396"/>
      <c r="B763" s="936" t="s">
        <v>84</v>
      </c>
      <c r="C763" s="96"/>
      <c r="D763" s="343"/>
      <c r="E763" s="397"/>
      <c r="F763" s="345"/>
      <c r="G763" s="301">
        <f>SUM(G762:G762)</f>
        <v>0</v>
      </c>
      <c r="H763" s="1425"/>
      <c r="I763" s="1425"/>
      <c r="J763" s="1378"/>
      <c r="K763" s="1379"/>
    </row>
    <row r="764" spans="1:11">
      <c r="A764" s="421"/>
      <c r="B764" s="1028"/>
      <c r="C764" s="422"/>
      <c r="D764" s="423"/>
      <c r="E764" s="416"/>
      <c r="F764" s="424"/>
      <c r="G764" s="424"/>
      <c r="H764" s="1423"/>
      <c r="I764" s="1423"/>
      <c r="J764" s="1378"/>
      <c r="K764" s="1379"/>
    </row>
    <row r="765" spans="1:11">
      <c r="A765" s="480"/>
      <c r="B765" s="971" t="s">
        <v>388</v>
      </c>
      <c r="C765" s="1188" t="s">
        <v>1244</v>
      </c>
      <c r="D765" s="481"/>
      <c r="E765" s="482"/>
      <c r="F765" s="483"/>
      <c r="G765" s="484"/>
      <c r="H765" s="1391"/>
      <c r="I765" s="1391"/>
      <c r="J765" s="1378"/>
      <c r="K765" s="1379"/>
    </row>
    <row r="766" spans="1:11">
      <c r="A766" s="421"/>
      <c r="B766" s="1028"/>
      <c r="C766" s="422"/>
      <c r="D766" s="423"/>
      <c r="E766" s="416"/>
      <c r="F766" s="424"/>
      <c r="G766" s="424"/>
      <c r="H766" s="1423"/>
      <c r="I766" s="1423"/>
      <c r="J766" s="1378"/>
      <c r="K766" s="1379"/>
    </row>
    <row r="767" spans="1:11" ht="110.25">
      <c r="A767" s="73">
        <v>1</v>
      </c>
      <c r="B767" s="958" t="s">
        <v>389</v>
      </c>
      <c r="C767" s="889" t="s">
        <v>1254</v>
      </c>
      <c r="D767" s="291" t="s">
        <v>282</v>
      </c>
      <c r="E767" s="81">
        <f>2*(1.25+1.5)</f>
        <v>5.5</v>
      </c>
      <c r="F767" s="807"/>
      <c r="G767" s="219">
        <f>F767*E767</f>
        <v>0</v>
      </c>
      <c r="H767" s="1392"/>
      <c r="I767" s="1392"/>
      <c r="J767" s="1378"/>
      <c r="K767" s="1379"/>
    </row>
    <row r="768" spans="1:11">
      <c r="A768" s="95"/>
      <c r="B768" s="976" t="s">
        <v>179</v>
      </c>
      <c r="C768" s="230"/>
      <c r="D768" s="155"/>
      <c r="E768" s="156"/>
      <c r="F768" s="98"/>
      <c r="G768" s="99">
        <f>SUM(G767:G767)</f>
        <v>0</v>
      </c>
      <c r="H768" s="1396"/>
      <c r="I768" s="1396"/>
      <c r="J768" s="1378"/>
      <c r="K768" s="1379"/>
    </row>
    <row r="769" spans="1:11">
      <c r="A769" s="435"/>
      <c r="B769" s="1032"/>
      <c r="C769" s="443"/>
      <c r="D769" s="433"/>
      <c r="E769" s="434"/>
      <c r="F769" s="434"/>
      <c r="G769" s="434"/>
      <c r="H769" s="1398"/>
      <c r="I769" s="1398"/>
      <c r="J769" s="1378"/>
      <c r="K769" s="1379"/>
    </row>
    <row r="770" spans="1:11">
      <c r="A770" s="435"/>
      <c r="B770" s="1032"/>
      <c r="C770" s="443"/>
      <c r="D770" s="433"/>
      <c r="E770" s="434"/>
      <c r="F770" s="434"/>
      <c r="G770" s="434"/>
      <c r="H770" s="1398"/>
      <c r="I770" s="1398"/>
      <c r="J770" s="1378"/>
      <c r="K770" s="1379"/>
    </row>
    <row r="771" spans="1:11">
      <c r="A771" s="188"/>
      <c r="B771" s="931" t="s">
        <v>390</v>
      </c>
      <c r="C771" s="660"/>
      <c r="D771" s="189"/>
      <c r="E771" s="171"/>
      <c r="F771" s="171"/>
      <c r="G771" s="110"/>
      <c r="H771" s="1398"/>
      <c r="I771" s="1398"/>
      <c r="J771" s="1378"/>
      <c r="K771" s="1379"/>
    </row>
    <row r="772" spans="1:11" ht="94.5">
      <c r="A772" s="178">
        <v>1</v>
      </c>
      <c r="B772" s="1038" t="s">
        <v>399</v>
      </c>
      <c r="C772" s="889" t="s">
        <v>1254</v>
      </c>
      <c r="D772" s="80" t="s">
        <v>11</v>
      </c>
      <c r="E772" s="81">
        <v>1</v>
      </c>
      <c r="F772" s="807"/>
      <c r="G772" s="88">
        <f>F772*E772</f>
        <v>0</v>
      </c>
      <c r="H772" s="1393"/>
      <c r="I772" s="1393"/>
      <c r="J772" s="1378"/>
      <c r="K772" s="1379"/>
    </row>
    <row r="773" spans="1:11">
      <c r="A773" s="207"/>
      <c r="B773" s="1039"/>
      <c r="C773" s="473"/>
      <c r="D773" s="419"/>
      <c r="E773" s="81"/>
      <c r="F773" s="210"/>
      <c r="G773" s="210"/>
      <c r="H773" s="1391"/>
      <c r="I773" s="1391"/>
      <c r="J773" s="1378"/>
      <c r="K773" s="1379"/>
    </row>
    <row r="774" spans="1:11" ht="47.25">
      <c r="A774" s="73">
        <v>3</v>
      </c>
      <c r="B774" s="944" t="s">
        <v>392</v>
      </c>
      <c r="C774" s="889" t="s">
        <v>1254</v>
      </c>
      <c r="D774" s="80" t="s">
        <v>11</v>
      </c>
      <c r="E774" s="81">
        <v>1</v>
      </c>
      <c r="F774" s="807"/>
      <c r="G774" s="82">
        <f>F774*E774</f>
        <v>0</v>
      </c>
      <c r="H774" s="1393"/>
      <c r="I774" s="1393"/>
      <c r="J774" s="1378"/>
      <c r="K774" s="1379"/>
    </row>
    <row r="775" spans="1:11">
      <c r="A775" s="194"/>
      <c r="B775" s="936" t="s">
        <v>245</v>
      </c>
      <c r="C775" s="96"/>
      <c r="D775" s="195"/>
      <c r="E775" s="197"/>
      <c r="F775" s="197"/>
      <c r="G775" s="99">
        <f>SUM(G772:G774)</f>
        <v>0</v>
      </c>
      <c r="H775" s="1401"/>
      <c r="I775" s="1401"/>
      <c r="J775" s="1378"/>
      <c r="K775" s="1379"/>
    </row>
    <row r="776" spans="1:11">
      <c r="A776" s="237"/>
      <c r="B776" s="930"/>
      <c r="C776" s="100"/>
      <c r="D776" s="131"/>
      <c r="E776" s="153"/>
      <c r="F776" s="88"/>
      <c r="G776" s="174"/>
      <c r="H776" s="1391"/>
      <c r="I776" s="1391"/>
      <c r="J776" s="1378"/>
      <c r="K776" s="1379"/>
    </row>
    <row r="777" spans="1:11">
      <c r="A777" s="237"/>
      <c r="B777" s="1041"/>
      <c r="C777" s="476"/>
      <c r="D777" s="131"/>
      <c r="E777" s="153"/>
      <c r="F777" s="88"/>
      <c r="G777" s="174"/>
      <c r="H777" s="1391"/>
      <c r="I777" s="1391"/>
      <c r="J777" s="1378"/>
      <c r="K777" s="1379"/>
    </row>
    <row r="778" spans="1:11" ht="15.75" customHeight="1">
      <c r="A778" s="262"/>
      <c r="B778" s="1501" t="s">
        <v>400</v>
      </c>
      <c r="C778" s="1501"/>
      <c r="D778" s="1501"/>
      <c r="E778" s="1501"/>
      <c r="F778" s="1501"/>
      <c r="G778" s="447"/>
      <c r="H778" s="1374"/>
      <c r="I778" s="1389"/>
      <c r="J778" s="1378"/>
      <c r="K778" s="1379"/>
    </row>
    <row r="779" spans="1:11">
      <c r="A779" s="351" t="s">
        <v>247</v>
      </c>
      <c r="B779" s="1034" t="s">
        <v>248</v>
      </c>
      <c r="C779" s="448"/>
      <c r="D779" s="131"/>
      <c r="E779" s="153"/>
      <c r="F779" s="88"/>
      <c r="G779" s="88">
        <f>G744</f>
        <v>0</v>
      </c>
      <c r="H779" s="1391"/>
      <c r="I779" s="1391"/>
      <c r="J779" s="1378"/>
      <c r="K779" s="1379"/>
    </row>
    <row r="780" spans="1:11">
      <c r="A780" s="351" t="s">
        <v>249</v>
      </c>
      <c r="B780" s="1034" t="s">
        <v>338</v>
      </c>
      <c r="C780" s="449"/>
      <c r="D780" s="131"/>
      <c r="E780" s="153"/>
      <c r="F780" s="88"/>
      <c r="G780" s="88">
        <f>G756</f>
        <v>0</v>
      </c>
      <c r="H780" s="1391"/>
      <c r="I780" s="1391"/>
      <c r="J780" s="1378"/>
      <c r="K780" s="1379"/>
    </row>
    <row r="781" spans="1:11">
      <c r="A781" s="351" t="s">
        <v>251</v>
      </c>
      <c r="B781" s="1034" t="s">
        <v>252</v>
      </c>
      <c r="C781" s="448"/>
      <c r="D781" s="131"/>
      <c r="E781" s="153"/>
      <c r="F781" s="88"/>
      <c r="G781" s="88">
        <f>G763</f>
        <v>0</v>
      </c>
      <c r="H781" s="1391"/>
      <c r="I781" s="1391"/>
      <c r="J781" s="1378"/>
      <c r="K781" s="1379"/>
    </row>
    <row r="782" spans="1:11">
      <c r="A782" s="351" t="s">
        <v>253</v>
      </c>
      <c r="B782" s="1034" t="s">
        <v>262</v>
      </c>
      <c r="C782" s="448"/>
      <c r="D782" s="131"/>
      <c r="E782" s="153"/>
      <c r="F782" s="88"/>
      <c r="G782" s="88">
        <f>G768</f>
        <v>0</v>
      </c>
      <c r="H782" s="1391"/>
      <c r="I782" s="1391"/>
      <c r="J782" s="1378"/>
      <c r="K782" s="1379"/>
    </row>
    <row r="783" spans="1:11">
      <c r="A783" s="351" t="s">
        <v>257</v>
      </c>
      <c r="B783" s="1034" t="s">
        <v>273</v>
      </c>
      <c r="C783" s="448"/>
      <c r="D783" s="131"/>
      <c r="E783" s="153"/>
      <c r="F783" s="88"/>
      <c r="G783" s="88">
        <f>+G775</f>
        <v>0</v>
      </c>
      <c r="H783" s="1391"/>
      <c r="I783" s="1391"/>
      <c r="J783" s="1378"/>
      <c r="K783" s="1379"/>
    </row>
    <row r="784" spans="1:11">
      <c r="A784" s="95"/>
      <c r="B784" s="936" t="s">
        <v>401</v>
      </c>
      <c r="C784" s="96"/>
      <c r="D784" s="155"/>
      <c r="E784" s="98"/>
      <c r="F784" s="98"/>
      <c r="G784" s="99">
        <f>SUM(G779:G783)</f>
        <v>0</v>
      </c>
      <c r="H784" s="1396"/>
      <c r="I784" s="1396"/>
      <c r="J784" s="1378"/>
      <c r="K784" s="1379"/>
    </row>
    <row r="785" spans="1:245">
      <c r="J785" s="1378"/>
      <c r="K785" s="1379"/>
    </row>
    <row r="786" spans="1:245">
      <c r="J786" s="1378"/>
      <c r="K786" s="1379"/>
    </row>
    <row r="787" spans="1:245">
      <c r="A787" s="779"/>
      <c r="B787" s="1045" t="s">
        <v>406</v>
      </c>
      <c r="C787" s="787"/>
      <c r="D787" s="785"/>
      <c r="E787" s="781"/>
      <c r="F787" s="782"/>
      <c r="G787" s="783"/>
      <c r="H787" s="1388"/>
      <c r="I787" s="1388"/>
      <c r="J787" s="1378"/>
      <c r="K787" s="1379"/>
    </row>
    <row r="788" spans="1:245">
      <c r="A788" s="1"/>
      <c r="B788" s="932"/>
      <c r="C788" s="513"/>
      <c r="D788" s="62"/>
      <c r="E788" s="63"/>
      <c r="F788" s="64"/>
      <c r="G788" s="65"/>
      <c r="H788" s="1390"/>
      <c r="I788" s="1390"/>
      <c r="J788" s="1378"/>
      <c r="K788" s="1379"/>
    </row>
    <row r="789" spans="1:245" s="771" customFormat="1" ht="30">
      <c r="A789" s="766" t="s">
        <v>891</v>
      </c>
      <c r="B789" s="920" t="s">
        <v>892</v>
      </c>
      <c r="C789" s="768" t="s">
        <v>894</v>
      </c>
      <c r="D789" s="768" t="s">
        <v>1</v>
      </c>
      <c r="E789" s="769" t="s">
        <v>893</v>
      </c>
      <c r="F789" s="769" t="s">
        <v>1234</v>
      </c>
      <c r="G789" s="769" t="s">
        <v>1233</v>
      </c>
      <c r="H789" s="1375"/>
      <c r="I789" s="1376"/>
      <c r="J789" s="1378"/>
      <c r="K789" s="1379"/>
      <c r="L789" s="770"/>
      <c r="M789" s="770"/>
      <c r="N789" s="770"/>
      <c r="O789" s="770"/>
      <c r="P789" s="770"/>
      <c r="Q789" s="770"/>
      <c r="R789" s="770"/>
      <c r="S789" s="770"/>
      <c r="T789" s="770"/>
      <c r="U789" s="770"/>
      <c r="V789" s="770"/>
      <c r="W789" s="770"/>
      <c r="X789" s="770"/>
      <c r="Y789" s="770"/>
      <c r="Z789" s="770"/>
      <c r="AA789" s="770"/>
      <c r="AB789" s="770"/>
      <c r="AC789" s="770"/>
      <c r="AD789" s="770"/>
      <c r="AE789" s="770"/>
      <c r="AF789" s="770"/>
      <c r="AG789" s="770"/>
      <c r="AH789" s="770"/>
      <c r="AI789" s="770"/>
      <c r="AJ789" s="770"/>
      <c r="AK789" s="770"/>
      <c r="AL789" s="770"/>
      <c r="AM789" s="770"/>
      <c r="AN789" s="770"/>
      <c r="AO789" s="770"/>
      <c r="AP789" s="770"/>
      <c r="AQ789" s="770"/>
      <c r="AR789" s="770"/>
      <c r="AS789" s="770"/>
      <c r="AT789" s="770"/>
      <c r="AU789" s="770"/>
      <c r="AV789" s="770"/>
      <c r="AW789" s="770"/>
      <c r="AX789" s="770"/>
      <c r="AY789" s="770"/>
      <c r="AZ789" s="770"/>
      <c r="BA789" s="770"/>
      <c r="BB789" s="770"/>
      <c r="BC789" s="770"/>
      <c r="BD789" s="770"/>
      <c r="BE789" s="770"/>
      <c r="BF789" s="770"/>
      <c r="BG789" s="770"/>
      <c r="BH789" s="770"/>
      <c r="BI789" s="770"/>
      <c r="BJ789" s="770"/>
      <c r="BK789" s="770"/>
      <c r="BL789" s="770"/>
      <c r="BM789" s="770"/>
      <c r="BN789" s="770"/>
      <c r="BO789" s="770"/>
      <c r="BP789" s="770"/>
      <c r="BQ789" s="770"/>
      <c r="BR789" s="770"/>
      <c r="BS789" s="770"/>
      <c r="BT789" s="770"/>
      <c r="BU789" s="770"/>
      <c r="BV789" s="770"/>
      <c r="BW789" s="770"/>
      <c r="BX789" s="770"/>
      <c r="BY789" s="770"/>
      <c r="BZ789" s="770"/>
      <c r="CA789" s="770"/>
      <c r="CB789" s="770"/>
      <c r="CC789" s="770"/>
      <c r="CD789" s="770"/>
      <c r="CE789" s="770"/>
      <c r="CF789" s="770"/>
      <c r="CG789" s="770"/>
      <c r="CH789" s="770"/>
      <c r="CI789" s="770"/>
      <c r="CJ789" s="770"/>
      <c r="CK789" s="770"/>
      <c r="CL789" s="770"/>
      <c r="CM789" s="770"/>
      <c r="CN789" s="770"/>
      <c r="CO789" s="770"/>
      <c r="CP789" s="770"/>
      <c r="CQ789" s="770"/>
      <c r="CR789" s="770"/>
      <c r="CS789" s="770"/>
      <c r="CT789" s="770"/>
      <c r="CU789" s="770"/>
      <c r="CV789" s="770"/>
      <c r="CW789" s="770"/>
      <c r="CX789" s="770"/>
      <c r="CY789" s="770"/>
      <c r="CZ789" s="770"/>
      <c r="DA789" s="770"/>
      <c r="DB789" s="770"/>
      <c r="DC789" s="770"/>
      <c r="DD789" s="770"/>
      <c r="DE789" s="770"/>
      <c r="DF789" s="770"/>
      <c r="DG789" s="770"/>
      <c r="DH789" s="770"/>
      <c r="DI789" s="770"/>
      <c r="DJ789" s="770"/>
      <c r="DK789" s="770"/>
      <c r="DL789" s="770"/>
      <c r="DM789" s="770"/>
      <c r="DN789" s="770"/>
      <c r="DO789" s="770"/>
      <c r="DP789" s="770"/>
      <c r="DQ789" s="770"/>
      <c r="DR789" s="770"/>
      <c r="DS789" s="770"/>
      <c r="DT789" s="770"/>
      <c r="DU789" s="770"/>
      <c r="DV789" s="770"/>
      <c r="DW789" s="770"/>
      <c r="DX789" s="770"/>
      <c r="DY789" s="770"/>
      <c r="DZ789" s="770"/>
      <c r="EA789" s="770"/>
      <c r="EB789" s="770"/>
      <c r="EC789" s="770"/>
      <c r="ED789" s="770"/>
      <c r="EE789" s="770"/>
      <c r="EF789" s="770"/>
      <c r="EG789" s="770"/>
      <c r="EH789" s="770"/>
      <c r="EI789" s="770"/>
      <c r="EJ789" s="770"/>
      <c r="EK789" s="770"/>
      <c r="EL789" s="770"/>
      <c r="EM789" s="770"/>
      <c r="EN789" s="770"/>
      <c r="EO789" s="770"/>
      <c r="EP789" s="770"/>
      <c r="EQ789" s="770"/>
      <c r="ER789" s="770"/>
      <c r="ES789" s="770"/>
      <c r="ET789" s="770"/>
      <c r="EU789" s="770"/>
      <c r="EV789" s="770"/>
      <c r="EW789" s="770"/>
      <c r="EX789" s="770"/>
      <c r="EY789" s="770"/>
      <c r="EZ789" s="770"/>
      <c r="FA789" s="770"/>
      <c r="FB789" s="770"/>
      <c r="FC789" s="770"/>
      <c r="FD789" s="770"/>
      <c r="FE789" s="770"/>
      <c r="FF789" s="770"/>
      <c r="FG789" s="770"/>
      <c r="FH789" s="770"/>
      <c r="FI789" s="770"/>
      <c r="FJ789" s="770"/>
      <c r="FK789" s="770"/>
      <c r="FL789" s="770"/>
      <c r="FM789" s="770"/>
      <c r="FN789" s="770"/>
      <c r="FO789" s="770"/>
      <c r="FP789" s="770"/>
      <c r="FQ789" s="770"/>
      <c r="FR789" s="770"/>
      <c r="FS789" s="770"/>
      <c r="FT789" s="770"/>
      <c r="FU789" s="770"/>
      <c r="FV789" s="770"/>
      <c r="FW789" s="770"/>
      <c r="FX789" s="770"/>
      <c r="FY789" s="770"/>
      <c r="FZ789" s="770"/>
      <c r="GA789" s="770"/>
      <c r="GB789" s="770"/>
      <c r="GC789" s="770"/>
      <c r="GD789" s="770"/>
      <c r="GE789" s="770"/>
      <c r="GF789" s="770"/>
      <c r="GG789" s="770"/>
      <c r="GH789" s="770"/>
      <c r="GI789" s="770"/>
      <c r="GJ789" s="770"/>
      <c r="GK789" s="770"/>
      <c r="GL789" s="770"/>
      <c r="GM789" s="770"/>
      <c r="GN789" s="770"/>
      <c r="GO789" s="770"/>
      <c r="GP789" s="770"/>
      <c r="GQ789" s="770"/>
      <c r="GR789" s="770"/>
      <c r="GS789" s="770"/>
      <c r="GT789" s="770"/>
      <c r="GU789" s="770"/>
      <c r="GV789" s="770"/>
      <c r="GW789" s="770"/>
      <c r="GX789" s="770"/>
      <c r="GY789" s="770"/>
      <c r="GZ789" s="770"/>
      <c r="HA789" s="770"/>
      <c r="HB789" s="770"/>
      <c r="HC789" s="770"/>
      <c r="HD789" s="770"/>
      <c r="HE789" s="770"/>
      <c r="HF789" s="770"/>
      <c r="HG789" s="770"/>
      <c r="HH789" s="770"/>
      <c r="HI789" s="770"/>
      <c r="HJ789" s="770"/>
      <c r="HK789" s="770"/>
      <c r="HL789" s="770"/>
      <c r="HM789" s="770"/>
      <c r="HN789" s="770"/>
      <c r="HO789" s="770"/>
      <c r="HP789" s="770"/>
      <c r="HQ789" s="770"/>
      <c r="HR789" s="770"/>
      <c r="HS789" s="770"/>
      <c r="HT789" s="770"/>
      <c r="HU789" s="770"/>
      <c r="HV789" s="770"/>
      <c r="HW789" s="770"/>
      <c r="HX789" s="770"/>
      <c r="HY789" s="770"/>
      <c r="HZ789" s="770"/>
      <c r="IA789" s="770"/>
      <c r="IB789" s="770"/>
      <c r="IC789" s="770"/>
      <c r="ID789" s="770"/>
      <c r="IE789" s="770"/>
      <c r="IF789" s="770"/>
      <c r="IG789" s="770"/>
      <c r="IH789" s="770"/>
      <c r="II789" s="770"/>
      <c r="IJ789" s="770"/>
      <c r="IK789" s="770"/>
    </row>
    <row r="790" spans="1:245">
      <c r="A790" s="1"/>
      <c r="B790" s="930"/>
      <c r="C790" s="68"/>
      <c r="D790" s="62"/>
      <c r="E790" s="63"/>
      <c r="F790" s="64"/>
      <c r="G790" s="65"/>
      <c r="H790" s="1390"/>
      <c r="I790" s="1390"/>
      <c r="J790" s="1378"/>
      <c r="K790" s="1379"/>
    </row>
    <row r="791" spans="1:245">
      <c r="A791" s="169"/>
      <c r="B791" s="1056" t="s">
        <v>841</v>
      </c>
      <c r="C791" s="1191" t="s">
        <v>1272</v>
      </c>
      <c r="D791" s="514"/>
      <c r="E791" s="121"/>
      <c r="F791" s="71"/>
      <c r="G791" s="72"/>
      <c r="H791" s="1413"/>
      <c r="I791" s="1413"/>
      <c r="J791" s="1378"/>
      <c r="K791" s="1379"/>
    </row>
    <row r="792" spans="1:245">
      <c r="A792" s="92"/>
      <c r="B792" s="934"/>
      <c r="C792" s="79"/>
      <c r="D792" s="134"/>
      <c r="E792" s="89"/>
      <c r="F792" s="88"/>
      <c r="G792" s="88"/>
      <c r="H792" s="1391"/>
      <c r="I792" s="1391"/>
      <c r="J792" s="1378"/>
      <c r="K792" s="1379"/>
    </row>
    <row r="793" spans="1:245" ht="34.5">
      <c r="A793" s="491" t="s">
        <v>60</v>
      </c>
      <c r="B793" s="1048" t="s">
        <v>407</v>
      </c>
      <c r="C793" s="889" t="s">
        <v>1255</v>
      </c>
      <c r="D793" s="493" t="s">
        <v>402</v>
      </c>
      <c r="E793" s="150">
        <f>+(0.6+4.2+0.6)*(0.6+3.2+0.6)</f>
        <v>23.759999999999998</v>
      </c>
      <c r="F793" s="807"/>
      <c r="G793" s="88">
        <f>F793*E793</f>
        <v>0</v>
      </c>
      <c r="H793" s="1392"/>
      <c r="I793" s="1392"/>
      <c r="J793" s="1378"/>
      <c r="K793" s="1379"/>
    </row>
    <row r="794" spans="1:245">
      <c r="A794" s="92"/>
      <c r="B794" s="934"/>
      <c r="C794" s="79"/>
      <c r="D794" s="86"/>
      <c r="E794" s="83"/>
      <c r="F794" s="86"/>
      <c r="G794" s="86"/>
      <c r="H794" s="1421"/>
      <c r="I794" s="1421"/>
      <c r="J794" s="1378"/>
      <c r="K794" s="1379"/>
    </row>
    <row r="795" spans="1:245" ht="33.75" customHeight="1">
      <c r="A795" s="491" t="s">
        <v>63</v>
      </c>
      <c r="B795" s="1048" t="s">
        <v>408</v>
      </c>
      <c r="C795" s="889" t="s">
        <v>1255</v>
      </c>
      <c r="D795" s="493" t="s">
        <v>404</v>
      </c>
      <c r="E795" s="150">
        <f>+((4.2*3.2)+(5.54*4.54))/2*0.67</f>
        <v>12.928186</v>
      </c>
      <c r="F795" s="807"/>
      <c r="G795" s="88">
        <f>F795*E795</f>
        <v>0</v>
      </c>
      <c r="H795" s="1393"/>
      <c r="I795" s="1393"/>
      <c r="J795" s="1378"/>
      <c r="K795" s="1379"/>
    </row>
    <row r="796" spans="1:245">
      <c r="A796" s="92"/>
      <c r="B796" s="455"/>
      <c r="C796" s="183"/>
      <c r="D796" s="515"/>
      <c r="E796" s="516"/>
      <c r="F796" s="461"/>
      <c r="G796" s="461"/>
      <c r="H796" s="1400"/>
      <c r="I796" s="1400"/>
      <c r="J796" s="1378"/>
      <c r="K796" s="1379"/>
    </row>
    <row r="797" spans="1:245" ht="78.75">
      <c r="A797" s="491" t="s">
        <v>65</v>
      </c>
      <c r="B797" s="1048" t="s">
        <v>409</v>
      </c>
      <c r="C797" s="889" t="s">
        <v>1255</v>
      </c>
      <c r="D797" s="493" t="s">
        <v>404</v>
      </c>
      <c r="E797" s="150">
        <f>+((4.2*3.2)+(4.9*3.9))*0.35</f>
        <v>11.392499999999998</v>
      </c>
      <c r="F797" s="807"/>
      <c r="G797" s="88">
        <f>F797*E797</f>
        <v>0</v>
      </c>
      <c r="H797" s="1393"/>
      <c r="I797" s="1393"/>
      <c r="J797" s="1378"/>
      <c r="K797" s="1379"/>
    </row>
    <row r="798" spans="1:245">
      <c r="A798" s="92"/>
      <c r="B798" s="934"/>
      <c r="C798" s="79"/>
      <c r="D798" s="86"/>
      <c r="E798" s="83"/>
      <c r="F798" s="86"/>
      <c r="G798" s="86"/>
      <c r="H798" s="1421"/>
      <c r="I798" s="1421"/>
      <c r="J798" s="1378"/>
      <c r="K798" s="1379"/>
    </row>
    <row r="799" spans="1:245" ht="94.5">
      <c r="A799" s="491" t="s">
        <v>368</v>
      </c>
      <c r="B799" s="1048" t="s">
        <v>410</v>
      </c>
      <c r="C799" s="889" t="s">
        <v>1255</v>
      </c>
      <c r="D799" s="494" t="s">
        <v>405</v>
      </c>
      <c r="E799" s="150">
        <f>90.48-(11.39+8.16*0.1+12.67)</f>
        <v>65.603999999999999</v>
      </c>
      <c r="F799" s="807"/>
      <c r="G799" s="88">
        <f>F799*E799</f>
        <v>0</v>
      </c>
      <c r="H799" s="1393"/>
      <c r="I799" s="1393"/>
      <c r="J799" s="1378"/>
      <c r="K799" s="1379"/>
    </row>
    <row r="800" spans="1:245">
      <c r="A800" s="92"/>
      <c r="B800" s="934"/>
      <c r="C800" s="79"/>
      <c r="D800" s="106"/>
      <c r="E800" s="107"/>
      <c r="F800" s="88"/>
      <c r="G800" s="88"/>
      <c r="H800" s="1391"/>
      <c r="I800" s="1391"/>
      <c r="J800" s="1378"/>
      <c r="K800" s="1379"/>
    </row>
    <row r="801" spans="1:11" ht="63">
      <c r="A801" s="497">
        <v>5</v>
      </c>
      <c r="B801" s="1048" t="s">
        <v>411</v>
      </c>
      <c r="C801" s="889" t="s">
        <v>1255</v>
      </c>
      <c r="D801" s="493" t="s">
        <v>404</v>
      </c>
      <c r="E801" s="106">
        <v>12.93</v>
      </c>
      <c r="F801" s="807"/>
      <c r="G801" s="88">
        <f>F801*E801</f>
        <v>0</v>
      </c>
      <c r="H801" s="1393"/>
      <c r="I801" s="1393"/>
      <c r="J801" s="1378"/>
      <c r="K801" s="1379"/>
    </row>
    <row r="802" spans="1:11">
      <c r="A802" s="505"/>
      <c r="B802" s="1049" t="s">
        <v>58</v>
      </c>
      <c r="C802" s="495"/>
      <c r="D802" s="506"/>
      <c r="E802" s="507"/>
      <c r="F802" s="508"/>
      <c r="G802" s="99">
        <f>SUM(G793:G801)</f>
        <v>0</v>
      </c>
      <c r="H802" s="1396"/>
      <c r="I802" s="1396"/>
      <c r="J802" s="1378"/>
      <c r="K802" s="1379"/>
    </row>
    <row r="803" spans="1:11">
      <c r="A803" s="193"/>
      <c r="B803" s="1057"/>
      <c r="C803" s="517"/>
      <c r="D803" s="190"/>
      <c r="E803" s="191"/>
      <c r="F803" s="174"/>
      <c r="G803" s="174"/>
      <c r="H803" s="1398"/>
      <c r="I803" s="1398"/>
      <c r="J803" s="1378"/>
      <c r="K803" s="1379"/>
    </row>
    <row r="804" spans="1:11">
      <c r="A804" s="193"/>
      <c r="B804" s="1057"/>
      <c r="C804" s="517"/>
      <c r="D804" s="190"/>
      <c r="E804" s="191"/>
      <c r="F804" s="174"/>
      <c r="G804" s="174"/>
      <c r="H804" s="1398"/>
      <c r="I804" s="1398"/>
      <c r="J804" s="1378"/>
      <c r="K804" s="1379"/>
    </row>
    <row r="805" spans="1:11" ht="47.25">
      <c r="A805" s="169"/>
      <c r="B805" s="1056" t="s">
        <v>59</v>
      </c>
      <c r="C805" s="1188" t="s">
        <v>1244</v>
      </c>
      <c r="D805" s="222"/>
      <c r="E805" s="108"/>
      <c r="F805" s="109"/>
      <c r="G805" s="110"/>
      <c r="H805" s="1391"/>
      <c r="I805" s="1391"/>
      <c r="J805" s="1378"/>
      <c r="K805" s="1379"/>
    </row>
    <row r="806" spans="1:11">
      <c r="A806" s="237"/>
      <c r="B806" s="934"/>
      <c r="C806" s="79"/>
      <c r="D806" s="131"/>
      <c r="E806" s="154"/>
      <c r="F806" s="88"/>
      <c r="G806" s="88"/>
      <c r="H806" s="1391"/>
      <c r="I806" s="1391"/>
      <c r="J806" s="1378"/>
      <c r="K806" s="1379"/>
    </row>
    <row r="807" spans="1:11" ht="78.75">
      <c r="A807" s="491" t="s">
        <v>47</v>
      </c>
      <c r="B807" s="1048" t="s">
        <v>412</v>
      </c>
      <c r="C807" s="889" t="s">
        <v>1255</v>
      </c>
      <c r="D807" s="493" t="s">
        <v>403</v>
      </c>
      <c r="E807" s="518">
        <f>(3.2+0.2)*(2.2+0.2)</f>
        <v>8.1600000000000019</v>
      </c>
      <c r="F807" s="807"/>
      <c r="G807" s="88">
        <f>F807*E807</f>
        <v>0</v>
      </c>
      <c r="H807" s="1393"/>
      <c r="I807" s="1393"/>
      <c r="J807" s="1378"/>
      <c r="K807" s="1379"/>
    </row>
    <row r="808" spans="1:11">
      <c r="A808" s="92"/>
      <c r="B808" s="934"/>
      <c r="C808" s="79"/>
      <c r="D808" s="515"/>
      <c r="E808" s="516"/>
      <c r="F808" s="461"/>
      <c r="G808" s="461"/>
      <c r="H808" s="1400"/>
      <c r="I808" s="1400"/>
      <c r="J808" s="1378"/>
      <c r="K808" s="1379"/>
    </row>
    <row r="809" spans="1:11" ht="94.5">
      <c r="A809" s="491" t="s">
        <v>63</v>
      </c>
      <c r="B809" s="1055" t="s">
        <v>413</v>
      </c>
      <c r="C809" s="889" t="s">
        <v>1255</v>
      </c>
      <c r="D809" s="493" t="s">
        <v>404</v>
      </c>
      <c r="E809" s="518">
        <f>3.2*2.2*0.2</f>
        <v>1.4080000000000004</v>
      </c>
      <c r="F809" s="807"/>
      <c r="G809" s="88">
        <f>F809*E809</f>
        <v>0</v>
      </c>
      <c r="H809" s="1393"/>
      <c r="I809" s="1393"/>
      <c r="J809" s="1378"/>
      <c r="K809" s="1379"/>
    </row>
    <row r="810" spans="1:11">
      <c r="A810" s="75"/>
      <c r="B810" s="951"/>
      <c r="C810" s="181"/>
      <c r="D810" s="134"/>
      <c r="E810" s="518"/>
      <c r="F810" s="88"/>
      <c r="G810" s="88"/>
      <c r="H810" s="1391"/>
      <c r="I810" s="1391"/>
      <c r="J810" s="1378"/>
      <c r="K810" s="1379"/>
    </row>
    <row r="811" spans="1:11" ht="110.25">
      <c r="A811" s="491" t="s">
        <v>65</v>
      </c>
      <c r="B811" s="1055" t="s">
        <v>414</v>
      </c>
      <c r="C811" s="889" t="s">
        <v>1255</v>
      </c>
      <c r="D811" s="515"/>
      <c r="E811" s="518"/>
      <c r="F811" s="461"/>
      <c r="G811" s="461"/>
      <c r="H811" s="1400"/>
      <c r="I811" s="1400"/>
      <c r="J811" s="1378"/>
      <c r="K811" s="1379"/>
    </row>
    <row r="812" spans="1:11" ht="18.75">
      <c r="A812" s="92"/>
      <c r="B812" s="1055" t="s">
        <v>415</v>
      </c>
      <c r="C812" s="511"/>
      <c r="D812" s="493" t="s">
        <v>404</v>
      </c>
      <c r="E812" s="518">
        <f>+(3.2+1.8)*2*1.6*0.2+(1.2+1.2)*2*0.35*0.2</f>
        <v>3.536</v>
      </c>
      <c r="F812" s="807"/>
      <c r="G812" s="88">
        <f>F812*E812</f>
        <v>0</v>
      </c>
      <c r="H812" s="1393"/>
      <c r="I812" s="1393"/>
      <c r="J812" s="1378"/>
      <c r="K812" s="1379"/>
    </row>
    <row r="813" spans="1:11">
      <c r="A813" s="92"/>
      <c r="B813" s="1055"/>
      <c r="C813" s="511"/>
      <c r="D813" s="459"/>
      <c r="E813" s="518"/>
      <c r="F813" s="459"/>
      <c r="G813" s="459"/>
      <c r="H813" s="1436"/>
      <c r="I813" s="1437"/>
      <c r="J813" s="1378"/>
      <c r="K813" s="1379"/>
    </row>
    <row r="814" spans="1:11" ht="94.5">
      <c r="A814" s="491" t="s">
        <v>368</v>
      </c>
      <c r="B814" s="1055" t="s">
        <v>416</v>
      </c>
      <c r="C814" s="889" t="s">
        <v>1255</v>
      </c>
      <c r="D814" s="493" t="s">
        <v>404</v>
      </c>
      <c r="E814" s="518">
        <v>0.88</v>
      </c>
      <c r="F814" s="807"/>
      <c r="G814" s="88">
        <f>F814*E814</f>
        <v>0</v>
      </c>
      <c r="H814" s="1393"/>
      <c r="I814" s="1393"/>
      <c r="J814" s="1378"/>
      <c r="K814" s="1379"/>
    </row>
    <row r="815" spans="1:11">
      <c r="A815" s="92"/>
      <c r="B815" s="1002"/>
      <c r="C815" s="192"/>
      <c r="D815" s="134"/>
      <c r="E815" s="518"/>
      <c r="F815" s="88"/>
      <c r="G815" s="88"/>
      <c r="H815" s="1391"/>
      <c r="I815" s="1391"/>
      <c r="J815" s="1378"/>
      <c r="K815" s="1379"/>
    </row>
    <row r="816" spans="1:11" ht="94.5">
      <c r="A816" s="491" t="s">
        <v>70</v>
      </c>
      <c r="B816" s="1055" t="s">
        <v>417</v>
      </c>
      <c r="C816" s="889" t="s">
        <v>1255</v>
      </c>
      <c r="D816" s="493" t="s">
        <v>418</v>
      </c>
      <c r="E816" s="518">
        <f>3.2*2.2</f>
        <v>7.0400000000000009</v>
      </c>
      <c r="F816" s="807"/>
      <c r="G816" s="88">
        <f>F816*E816</f>
        <v>0</v>
      </c>
      <c r="H816" s="1393"/>
      <c r="I816" s="1393"/>
      <c r="J816" s="1378"/>
      <c r="K816" s="1379"/>
    </row>
    <row r="817" spans="1:11">
      <c r="A817" s="519"/>
      <c r="B817" s="1049" t="s">
        <v>80</v>
      </c>
      <c r="C817" s="495"/>
      <c r="D817" s="195"/>
      <c r="E817" s="196"/>
      <c r="F817" s="197"/>
      <c r="G817" s="99">
        <f>SUM(G807:G816)</f>
        <v>0</v>
      </c>
      <c r="H817" s="1401"/>
      <c r="I817" s="1401"/>
      <c r="J817" s="1378"/>
      <c r="K817" s="1379"/>
    </row>
    <row r="818" spans="1:11">
      <c r="A818" s="193"/>
      <c r="B818" s="1057"/>
      <c r="C818" s="517"/>
      <c r="D818" s="190"/>
      <c r="E818" s="191"/>
      <c r="F818" s="174"/>
      <c r="G818" s="174"/>
      <c r="H818" s="1398"/>
      <c r="I818" s="1398"/>
      <c r="J818" s="1378"/>
      <c r="K818" s="1379"/>
    </row>
    <row r="819" spans="1:11">
      <c r="A819" s="101"/>
      <c r="B819" s="1050" t="s">
        <v>81</v>
      </c>
      <c r="C819" s="1188" t="s">
        <v>1244</v>
      </c>
      <c r="D819" s="189"/>
      <c r="E819" s="222"/>
      <c r="F819" s="109"/>
      <c r="G819" s="205"/>
      <c r="H819" s="1391"/>
      <c r="I819" s="1391"/>
      <c r="J819" s="1378"/>
      <c r="K819" s="1379"/>
    </row>
    <row r="820" spans="1:11">
      <c r="A820" s="237"/>
      <c r="B820" s="1051"/>
      <c r="C820" s="496"/>
      <c r="D820" s="520"/>
      <c r="E820" s="154"/>
      <c r="F820" s="88"/>
      <c r="G820" s="153"/>
      <c r="H820" s="1391"/>
      <c r="I820" s="1391"/>
      <c r="J820" s="1378"/>
      <c r="K820" s="1379"/>
    </row>
    <row r="821" spans="1:11" ht="63">
      <c r="A821" s="491" t="s">
        <v>60</v>
      </c>
      <c r="B821" s="1048" t="s">
        <v>284</v>
      </c>
      <c r="C821" s="889" t="s">
        <v>1255</v>
      </c>
      <c r="D821" s="440"/>
      <c r="E821" s="62"/>
      <c r="F821" s="82"/>
      <c r="G821" s="64"/>
      <c r="H821" s="1391"/>
      <c r="I821" s="1391"/>
      <c r="J821" s="1378"/>
      <c r="K821" s="1379"/>
    </row>
    <row r="822" spans="1:11">
      <c r="A822" s="92"/>
      <c r="B822" s="1048" t="s">
        <v>336</v>
      </c>
      <c r="C822" s="492"/>
      <c r="D822" s="440"/>
      <c r="E822" s="62"/>
      <c r="F822" s="82"/>
      <c r="G822" s="64"/>
      <c r="H822" s="1391"/>
      <c r="I822" s="1391"/>
      <c r="J822" s="1378"/>
      <c r="K822" s="1379"/>
    </row>
    <row r="823" spans="1:11">
      <c r="A823" s="92"/>
      <c r="B823" s="1048" t="s">
        <v>337</v>
      </c>
      <c r="C823" s="492"/>
      <c r="D823" s="493" t="s">
        <v>83</v>
      </c>
      <c r="E823" s="462">
        <f>+(1.41+3.54+0.88)*130</f>
        <v>757.9</v>
      </c>
      <c r="F823" s="807"/>
      <c r="G823" s="88">
        <f>F823*E823</f>
        <v>0</v>
      </c>
      <c r="H823" s="1393"/>
      <c r="I823" s="1393"/>
      <c r="J823" s="1378"/>
      <c r="K823" s="1379"/>
    </row>
    <row r="824" spans="1:11">
      <c r="A824" s="95"/>
      <c r="B824" s="1049" t="s">
        <v>84</v>
      </c>
      <c r="C824" s="495"/>
      <c r="D824" s="155"/>
      <c r="E824" s="521"/>
      <c r="F824" s="98"/>
      <c r="G824" s="99">
        <f>SUM(G821:G823)</f>
        <v>0</v>
      </c>
      <c r="H824" s="1396"/>
      <c r="I824" s="1396"/>
      <c r="J824" s="1378"/>
      <c r="K824" s="1379"/>
    </row>
    <row r="825" spans="1:11">
      <c r="A825" s="522"/>
      <c r="B825" s="1058"/>
      <c r="C825" s="523"/>
      <c r="D825" s="524"/>
      <c r="E825" s="525"/>
      <c r="F825" s="526"/>
      <c r="G825" s="526"/>
      <c r="H825" s="1398"/>
      <c r="I825" s="1398"/>
      <c r="J825" s="1378"/>
      <c r="K825" s="1379"/>
    </row>
    <row r="826" spans="1:11">
      <c r="A826" s="69"/>
      <c r="B826" s="1056" t="s">
        <v>419</v>
      </c>
      <c r="C826" s="1188" t="s">
        <v>1244</v>
      </c>
      <c r="D826" s="527"/>
      <c r="E826" s="514"/>
      <c r="F826" s="109"/>
      <c r="G826" s="122"/>
      <c r="H826" s="1391"/>
      <c r="I826" s="1391"/>
      <c r="J826" s="1378"/>
      <c r="K826" s="1379"/>
    </row>
    <row r="827" spans="1:11">
      <c r="A827" s="193"/>
      <c r="B827" s="1057"/>
      <c r="C827" s="517"/>
      <c r="D827" s="190"/>
      <c r="E827" s="191"/>
      <c r="F827" s="174"/>
      <c r="G827" s="174"/>
      <c r="H827" s="1398"/>
      <c r="I827" s="1398"/>
      <c r="J827" s="1378"/>
      <c r="K827" s="1379"/>
    </row>
    <row r="828" spans="1:11" ht="63">
      <c r="A828" s="491" t="s">
        <v>60</v>
      </c>
      <c r="B828" s="1059" t="s">
        <v>420</v>
      </c>
      <c r="C828" s="889" t="s">
        <v>1255</v>
      </c>
      <c r="D828" s="493" t="s">
        <v>418</v>
      </c>
      <c r="E828" s="142">
        <v>7.04</v>
      </c>
      <c r="F828" s="807"/>
      <c r="G828" s="82">
        <f>F828*E828</f>
        <v>0</v>
      </c>
      <c r="H828" s="1393"/>
      <c r="I828" s="1393"/>
      <c r="J828" s="1378"/>
      <c r="K828" s="1379"/>
    </row>
    <row r="829" spans="1:11">
      <c r="A829" s="193"/>
      <c r="B829" s="1057"/>
      <c r="C829" s="517"/>
      <c r="D829" s="83"/>
      <c r="E829" s="142"/>
      <c r="F829" s="82"/>
      <c r="G829" s="82"/>
      <c r="H829" s="1391"/>
      <c r="I829" s="1391"/>
      <c r="J829" s="1378"/>
      <c r="K829" s="1379"/>
    </row>
    <row r="830" spans="1:11" ht="63">
      <c r="A830" s="491" t="s">
        <v>63</v>
      </c>
      <c r="B830" s="1059" t="s">
        <v>421</v>
      </c>
      <c r="C830" s="889" t="s">
        <v>1255</v>
      </c>
      <c r="D830" s="493" t="s">
        <v>418</v>
      </c>
      <c r="E830" s="89">
        <f>3.2*2.2-1.2*1.2</f>
        <v>5.6000000000000014</v>
      </c>
      <c r="F830" s="807"/>
      <c r="G830" s="82">
        <f>F830*E830</f>
        <v>0</v>
      </c>
      <c r="H830" s="1393"/>
      <c r="I830" s="1393"/>
      <c r="J830" s="1378"/>
      <c r="K830" s="1379"/>
    </row>
    <row r="831" spans="1:11">
      <c r="A831" s="193"/>
      <c r="B831" s="1057"/>
      <c r="C831" s="517"/>
      <c r="D831" s="190"/>
      <c r="E831" s="191"/>
      <c r="F831" s="174"/>
      <c r="G831" s="174"/>
      <c r="H831" s="1398"/>
      <c r="I831" s="1398"/>
      <c r="J831" s="1378"/>
      <c r="K831" s="1379"/>
    </row>
    <row r="832" spans="1:11" ht="63">
      <c r="A832" s="491" t="s">
        <v>65</v>
      </c>
      <c r="B832" s="1059" t="s">
        <v>422</v>
      </c>
      <c r="C832" s="889" t="s">
        <v>1255</v>
      </c>
      <c r="D832" s="493" t="s">
        <v>418</v>
      </c>
      <c r="E832" s="106">
        <f>1.85*2*(3.2+2.2)+0.4*2*(1.2+1.2)</f>
        <v>21.900000000000006</v>
      </c>
      <c r="F832" s="807"/>
      <c r="G832" s="82">
        <f>F832*E832</f>
        <v>0</v>
      </c>
      <c r="H832" s="1393"/>
      <c r="I832" s="1393"/>
      <c r="J832" s="1378"/>
      <c r="K832" s="1379"/>
    </row>
    <row r="833" spans="1:11">
      <c r="A833" s="193"/>
      <c r="B833" s="1057"/>
      <c r="C833" s="517"/>
      <c r="D833" s="190"/>
      <c r="E833" s="191"/>
      <c r="F833" s="174"/>
      <c r="G833" s="174"/>
      <c r="H833" s="1398"/>
      <c r="I833" s="1398"/>
      <c r="J833" s="1378"/>
      <c r="K833" s="1379"/>
    </row>
    <row r="834" spans="1:11" ht="63">
      <c r="A834" s="497">
        <v>4</v>
      </c>
      <c r="B834" s="1048" t="s">
        <v>423</v>
      </c>
      <c r="C834" s="889" t="s">
        <v>1255</v>
      </c>
      <c r="D834" s="493" t="s">
        <v>418</v>
      </c>
      <c r="E834" s="89">
        <f>1.85*2*(3.2+2.2)+0.4*2*(1.2+1.2)+(3.2*2.2-1.2*1.2)</f>
        <v>27.500000000000007</v>
      </c>
      <c r="F834" s="807"/>
      <c r="G834" s="82">
        <f>F834*E834</f>
        <v>0</v>
      </c>
      <c r="H834" s="1393"/>
      <c r="I834" s="1393"/>
      <c r="J834" s="1378"/>
      <c r="K834" s="1379"/>
    </row>
    <row r="835" spans="1:11">
      <c r="A835" s="193"/>
      <c r="B835" s="1057"/>
      <c r="C835" s="517"/>
      <c r="D835" s="190"/>
      <c r="E835" s="191"/>
      <c r="F835" s="174"/>
      <c r="G835" s="174"/>
      <c r="H835" s="1398"/>
      <c r="I835" s="1398"/>
      <c r="J835" s="1378"/>
      <c r="K835" s="1379"/>
    </row>
    <row r="836" spans="1:11" ht="126">
      <c r="A836" s="497">
        <v>5</v>
      </c>
      <c r="B836" s="1181" t="s">
        <v>424</v>
      </c>
      <c r="C836" s="889" t="s">
        <v>1255</v>
      </c>
      <c r="D836" s="493" t="s">
        <v>176</v>
      </c>
      <c r="E836" s="261">
        <f>+(3.2+2.2)*2+4*1.85</f>
        <v>18.200000000000003</v>
      </c>
      <c r="F836" s="807"/>
      <c r="G836" s="88">
        <f>+F836*E836</f>
        <v>0</v>
      </c>
      <c r="H836" s="1393"/>
      <c r="I836" s="1393"/>
      <c r="J836" s="1378"/>
      <c r="K836" s="1379"/>
    </row>
    <row r="837" spans="1:11">
      <c r="A837" s="194"/>
      <c r="B837" s="1060" t="s">
        <v>110</v>
      </c>
      <c r="C837" s="544"/>
      <c r="D837" s="545"/>
      <c r="E837" s="196"/>
      <c r="F837" s="197"/>
      <c r="G837" s="99">
        <f>SUM(G828:G836)</f>
        <v>0</v>
      </c>
      <c r="H837" s="1401"/>
      <c r="I837" s="1401"/>
      <c r="J837" s="1378"/>
      <c r="K837" s="1379"/>
    </row>
    <row r="838" spans="1:11">
      <c r="A838" s="193"/>
      <c r="B838" s="1057"/>
      <c r="C838" s="517"/>
      <c r="D838" s="190"/>
      <c r="E838" s="191"/>
      <c r="F838" s="174"/>
      <c r="G838" s="174"/>
      <c r="H838" s="1398"/>
      <c r="I838" s="1398"/>
      <c r="J838" s="1378"/>
      <c r="K838" s="1379"/>
    </row>
    <row r="839" spans="1:11">
      <c r="A839" s="188"/>
      <c r="B839" s="1047" t="s">
        <v>425</v>
      </c>
      <c r="C839" s="1188" t="s">
        <v>1244</v>
      </c>
      <c r="D839" s="514"/>
      <c r="E839" s="121"/>
      <c r="F839" s="171"/>
      <c r="G839" s="110"/>
      <c r="H839" s="1398"/>
      <c r="I839" s="1398"/>
      <c r="J839" s="1378"/>
      <c r="K839" s="1379"/>
    </row>
    <row r="840" spans="1:11">
      <c r="A840" s="180"/>
      <c r="B840" s="1046"/>
      <c r="C840" s="489"/>
      <c r="D840" s="190"/>
      <c r="E840" s="107"/>
      <c r="F840" s="88"/>
      <c r="G840" s="88"/>
      <c r="H840" s="1391"/>
      <c r="I840" s="1391"/>
      <c r="J840" s="1378"/>
      <c r="K840" s="1379"/>
    </row>
    <row r="841" spans="1:11" ht="63">
      <c r="A841" s="503">
        <v>1</v>
      </c>
      <c r="B841" s="1061" t="s">
        <v>426</v>
      </c>
      <c r="C841" s="889" t="s">
        <v>1255</v>
      </c>
      <c r="D841" s="528"/>
      <c r="E841" s="63"/>
      <c r="F841" s="529"/>
      <c r="G841" s="529"/>
      <c r="H841" s="1438"/>
      <c r="I841" s="1439"/>
      <c r="J841" s="1378"/>
      <c r="K841" s="1379"/>
    </row>
    <row r="842" spans="1:11">
      <c r="A842" s="75"/>
      <c r="B842" s="1062" t="s">
        <v>427</v>
      </c>
      <c r="C842" s="530"/>
      <c r="D842" s="531" t="s">
        <v>160</v>
      </c>
      <c r="E842" s="107">
        <v>1</v>
      </c>
      <c r="F842" s="807"/>
      <c r="G842" s="533">
        <f>E842*F842</f>
        <v>0</v>
      </c>
      <c r="H842" s="1440"/>
      <c r="I842" s="1392"/>
      <c r="J842" s="1378"/>
      <c r="K842" s="1379"/>
    </row>
    <row r="843" spans="1:11">
      <c r="A843" s="534"/>
      <c r="B843" s="1063"/>
      <c r="C843" s="535"/>
      <c r="D843" s="536"/>
      <c r="E843" s="537"/>
      <c r="F843" s="538"/>
      <c r="G843" s="538"/>
      <c r="H843" s="1438"/>
      <c r="I843" s="1439"/>
      <c r="J843" s="1378"/>
      <c r="K843" s="1379"/>
    </row>
    <row r="844" spans="1:11" ht="47.25">
      <c r="A844" s="539">
        <v>2</v>
      </c>
      <c r="B844" s="1064" t="s">
        <v>428</v>
      </c>
      <c r="C844" s="889" t="s">
        <v>1255</v>
      </c>
      <c r="D844" s="540"/>
      <c r="E844" s="541"/>
      <c r="F844" s="542"/>
      <c r="G844" s="542"/>
      <c r="H844" s="1441"/>
      <c r="I844" s="1442"/>
      <c r="J844" s="1378"/>
      <c r="K844" s="1379"/>
    </row>
    <row r="845" spans="1:11">
      <c r="A845" s="193"/>
      <c r="B845" s="1065" t="s">
        <v>429</v>
      </c>
      <c r="C845" s="543"/>
      <c r="D845" s="531" t="s">
        <v>11</v>
      </c>
      <c r="E845" s="107">
        <v>5</v>
      </c>
      <c r="F845" s="807"/>
      <c r="G845" s="533">
        <f>E845*F845</f>
        <v>0</v>
      </c>
      <c r="H845" s="1440"/>
      <c r="I845" s="1392"/>
      <c r="J845" s="1378"/>
      <c r="K845" s="1379"/>
    </row>
    <row r="846" spans="1:11">
      <c r="A846" s="194"/>
      <c r="B846" s="1505" t="s">
        <v>303</v>
      </c>
      <c r="C846" s="1505"/>
      <c r="D846" s="1505"/>
      <c r="E846" s="1505"/>
      <c r="F846" s="197"/>
      <c r="G846" s="99">
        <f>SUM(G842:G845)</f>
        <v>0</v>
      </c>
      <c r="H846" s="1401"/>
      <c r="I846" s="1401"/>
      <c r="J846" s="1378"/>
      <c r="K846" s="1379"/>
    </row>
    <row r="847" spans="1:11">
      <c r="A847" s="522"/>
      <c r="B847" s="1058"/>
      <c r="C847" s="523"/>
      <c r="D847" s="524"/>
      <c r="E847" s="525"/>
      <c r="F847" s="526"/>
      <c r="G847" s="526"/>
      <c r="H847" s="1398"/>
      <c r="I847" s="1398"/>
      <c r="J847" s="1378"/>
      <c r="K847" s="1379"/>
    </row>
    <row r="848" spans="1:11">
      <c r="A848" s="188"/>
      <c r="B848" s="1047" t="s">
        <v>390</v>
      </c>
      <c r="C848" s="490"/>
      <c r="D848" s="514"/>
      <c r="E848" s="121"/>
      <c r="F848" s="171"/>
      <c r="G848" s="110"/>
      <c r="H848" s="1398"/>
      <c r="I848" s="1398"/>
      <c r="J848" s="1378"/>
      <c r="K848" s="1379"/>
    </row>
    <row r="849" spans="1:11">
      <c r="A849" s="180"/>
      <c r="B849" s="934"/>
      <c r="C849" s="79"/>
      <c r="D849" s="131"/>
      <c r="E849" s="107"/>
      <c r="F849" s="88"/>
      <c r="G849" s="88"/>
      <c r="H849" s="1391"/>
      <c r="I849" s="1391"/>
      <c r="J849" s="1378"/>
      <c r="K849" s="1379"/>
    </row>
    <row r="850" spans="1:11" ht="63">
      <c r="A850" s="503">
        <v>1</v>
      </c>
      <c r="B850" s="1181" t="s">
        <v>430</v>
      </c>
      <c r="C850" s="889" t="s">
        <v>1255</v>
      </c>
      <c r="D850" s="493" t="s">
        <v>898</v>
      </c>
      <c r="E850" s="261">
        <v>1</v>
      </c>
      <c r="F850" s="807"/>
      <c r="G850" s="88">
        <f>+F850*E850</f>
        <v>0</v>
      </c>
      <c r="H850" s="1393"/>
      <c r="I850" s="1393"/>
      <c r="J850" s="1378"/>
      <c r="K850" s="1379"/>
    </row>
    <row r="851" spans="1:11">
      <c r="A851" s="75"/>
      <c r="B851" s="1002"/>
      <c r="C851" s="192"/>
      <c r="D851" s="75"/>
      <c r="E851" s="67"/>
      <c r="F851" s="82"/>
      <c r="G851" s="82"/>
      <c r="H851" s="1391"/>
      <c r="I851" s="1391"/>
      <c r="J851" s="1378"/>
      <c r="K851" s="1379"/>
    </row>
    <row r="852" spans="1:11" ht="47.25">
      <c r="A852" s="503">
        <v>2</v>
      </c>
      <c r="B852" s="1181" t="s">
        <v>431</v>
      </c>
      <c r="C852" s="889" t="s">
        <v>1255</v>
      </c>
      <c r="D852" s="493" t="s">
        <v>11</v>
      </c>
      <c r="E852" s="261">
        <v>4</v>
      </c>
      <c r="F852" s="807"/>
      <c r="G852" s="88">
        <f>+F852*E852</f>
        <v>0</v>
      </c>
      <c r="H852" s="1393"/>
      <c r="I852" s="1393"/>
      <c r="J852" s="1378"/>
      <c r="K852" s="1379"/>
    </row>
    <row r="853" spans="1:11">
      <c r="A853" s="194"/>
      <c r="B853" s="1060" t="s">
        <v>245</v>
      </c>
      <c r="C853" s="544"/>
      <c r="D853" s="545"/>
      <c r="E853" s="196"/>
      <c r="F853" s="197"/>
      <c r="G853" s="99">
        <f>SUM(G850:G852)</f>
        <v>0</v>
      </c>
      <c r="H853" s="1401"/>
      <c r="I853" s="1401"/>
      <c r="J853" s="1378"/>
      <c r="K853" s="1379"/>
    </row>
    <row r="854" spans="1:11">
      <c r="A854" s="546"/>
      <c r="B854" s="1066"/>
      <c r="C854" s="547"/>
      <c r="D854" s="548"/>
      <c r="E854" s="549"/>
      <c r="F854" s="550"/>
      <c r="G854" s="526"/>
      <c r="H854" s="1391"/>
      <c r="I854" s="1391"/>
      <c r="J854" s="1378"/>
      <c r="K854" s="1379"/>
    </row>
    <row r="855" spans="1:11">
      <c r="A855" s="546"/>
      <c r="B855" s="1066"/>
      <c r="C855" s="547"/>
      <c r="D855" s="548"/>
      <c r="E855" s="549"/>
      <c r="F855" s="550"/>
      <c r="G855" s="526"/>
      <c r="H855" s="1391"/>
      <c r="I855" s="1391"/>
      <c r="J855" s="1378"/>
      <c r="K855" s="1379"/>
    </row>
    <row r="856" spans="1:11" ht="15.75" customHeight="1">
      <c r="A856" s="262"/>
      <c r="B856" s="1506" t="s">
        <v>432</v>
      </c>
      <c r="C856" s="1506"/>
      <c r="D856" s="1506"/>
      <c r="E856" s="265"/>
      <c r="F856" s="499"/>
      <c r="G856" s="500"/>
      <c r="H856" s="1443"/>
      <c r="I856" s="1443"/>
      <c r="J856" s="1378"/>
      <c r="K856" s="1379"/>
    </row>
    <row r="857" spans="1:11">
      <c r="A857" s="497" t="s">
        <v>247</v>
      </c>
      <c r="B857" s="1052" t="s">
        <v>248</v>
      </c>
      <c r="C857" s="501"/>
      <c r="D857" s="134"/>
      <c r="E857" s="107"/>
      <c r="F857" s="88"/>
      <c r="G857" s="88">
        <f>G802</f>
        <v>0</v>
      </c>
      <c r="H857" s="1391"/>
      <c r="I857" s="1391"/>
      <c r="J857" s="1378"/>
      <c r="K857" s="1379"/>
    </row>
    <row r="858" spans="1:11">
      <c r="A858" s="498" t="s">
        <v>249</v>
      </c>
      <c r="B858" s="1053" t="s">
        <v>286</v>
      </c>
      <c r="C858" s="509"/>
      <c r="D858" s="131"/>
      <c r="E858" s="154"/>
      <c r="F858" s="88"/>
      <c r="G858" s="88">
        <f>G817</f>
        <v>0</v>
      </c>
      <c r="H858" s="1391"/>
      <c r="I858" s="1391"/>
      <c r="J858" s="1378"/>
      <c r="K858" s="1379"/>
    </row>
    <row r="859" spans="1:11">
      <c r="A859" s="498" t="s">
        <v>251</v>
      </c>
      <c r="B859" s="1053" t="s">
        <v>252</v>
      </c>
      <c r="C859" s="509"/>
      <c r="D859" s="131"/>
      <c r="E859" s="154"/>
      <c r="F859" s="88"/>
      <c r="G859" s="88">
        <f>+G824</f>
        <v>0</v>
      </c>
      <c r="H859" s="1391"/>
      <c r="I859" s="1391"/>
      <c r="J859" s="1378"/>
      <c r="K859" s="1379"/>
    </row>
    <row r="860" spans="1:11">
      <c r="A860" s="498" t="s">
        <v>253</v>
      </c>
      <c r="B860" s="1053" t="s">
        <v>258</v>
      </c>
      <c r="C860" s="502"/>
      <c r="D860" s="131"/>
      <c r="E860" s="154"/>
      <c r="F860" s="88"/>
      <c r="G860" s="88">
        <f>+G837</f>
        <v>0</v>
      </c>
      <c r="H860" s="1391"/>
      <c r="I860" s="1391"/>
      <c r="J860" s="1378"/>
      <c r="K860" s="1379"/>
    </row>
    <row r="861" spans="1:11">
      <c r="A861" s="498" t="s">
        <v>255</v>
      </c>
      <c r="B861" s="1053" t="s">
        <v>262</v>
      </c>
      <c r="C861" s="502"/>
      <c r="D861" s="131"/>
      <c r="E861" s="154"/>
      <c r="F861" s="88"/>
      <c r="G861" s="88">
        <f>G846</f>
        <v>0</v>
      </c>
      <c r="H861" s="1391"/>
      <c r="I861" s="1391"/>
      <c r="J861" s="1378"/>
      <c r="K861" s="1379"/>
    </row>
    <row r="862" spans="1:11">
      <c r="A862" s="551" t="s">
        <v>257</v>
      </c>
      <c r="B862" s="1053" t="s">
        <v>273</v>
      </c>
      <c r="C862" s="502"/>
      <c r="D862" s="131"/>
      <c r="E862" s="154"/>
      <c r="F862" s="88"/>
      <c r="G862" s="88">
        <f>+G853</f>
        <v>0</v>
      </c>
      <c r="H862" s="1391"/>
      <c r="I862" s="1391"/>
      <c r="J862" s="1378"/>
      <c r="K862" s="1379"/>
    </row>
    <row r="863" spans="1:11">
      <c r="A863" s="95"/>
      <c r="B863" s="1049" t="s">
        <v>433</v>
      </c>
      <c r="C863" s="578"/>
      <c r="D863" s="155"/>
      <c r="E863" s="97"/>
      <c r="F863" s="98"/>
      <c r="G863" s="99">
        <f>SUM(G857:G862)</f>
        <v>0</v>
      </c>
      <c r="H863" s="1396"/>
      <c r="I863" s="1396"/>
      <c r="J863" s="1378"/>
      <c r="K863" s="1379"/>
    </row>
    <row r="864" spans="1:11">
      <c r="J864" s="1378"/>
      <c r="K864" s="1379"/>
    </row>
    <row r="865" spans="1:245">
      <c r="J865" s="1378"/>
      <c r="K865" s="1379"/>
    </row>
    <row r="866" spans="1:245">
      <c r="A866" s="786"/>
      <c r="B866" s="1045" t="s">
        <v>434</v>
      </c>
      <c r="C866" s="787"/>
      <c r="D866" s="785"/>
      <c r="E866" s="781"/>
      <c r="F866" s="782"/>
      <c r="G866" s="783"/>
      <c r="H866" s="1388"/>
      <c r="I866" s="1388"/>
      <c r="J866" s="1378"/>
      <c r="K866" s="1379"/>
    </row>
    <row r="867" spans="1:245">
      <c r="A867" s="779"/>
      <c r="B867" s="1045" t="s">
        <v>435</v>
      </c>
      <c r="C867" s="787"/>
      <c r="D867" s="785"/>
      <c r="E867" s="781"/>
      <c r="F867" s="782"/>
      <c r="G867" s="783"/>
      <c r="H867" s="1388"/>
      <c r="I867" s="1388"/>
      <c r="J867" s="1378"/>
      <c r="K867" s="1379"/>
    </row>
    <row r="868" spans="1:245">
      <c r="A868" s="1"/>
      <c r="B868" s="1046"/>
      <c r="C868" s="489"/>
      <c r="D868" s="107"/>
      <c r="E868" s="107"/>
      <c r="F868" s="82"/>
      <c r="G868" s="82"/>
      <c r="H868" s="1391"/>
      <c r="I868" s="1391"/>
      <c r="J868" s="1378"/>
      <c r="K868" s="1379"/>
    </row>
    <row r="869" spans="1:245" s="771" customFormat="1" ht="30">
      <c r="A869" s="766" t="s">
        <v>891</v>
      </c>
      <c r="B869" s="920" t="s">
        <v>892</v>
      </c>
      <c r="C869" s="768" t="s">
        <v>894</v>
      </c>
      <c r="D869" s="768" t="s">
        <v>1</v>
      </c>
      <c r="E869" s="769" t="s">
        <v>893</v>
      </c>
      <c r="F869" s="769" t="s">
        <v>1234</v>
      </c>
      <c r="G869" s="769" t="s">
        <v>1233</v>
      </c>
      <c r="H869" s="1375"/>
      <c r="I869" s="1376"/>
      <c r="J869" s="1378"/>
      <c r="K869" s="1379"/>
      <c r="L869" s="770"/>
      <c r="M869" s="770"/>
      <c r="N869" s="770"/>
      <c r="O869" s="770"/>
      <c r="P869" s="770"/>
      <c r="Q869" s="770"/>
      <c r="R869" s="770"/>
      <c r="S869" s="770"/>
      <c r="T869" s="770"/>
      <c r="U869" s="770"/>
      <c r="V869" s="770"/>
      <c r="W869" s="770"/>
      <c r="X869" s="770"/>
      <c r="Y869" s="770"/>
      <c r="Z869" s="770"/>
      <c r="AA869" s="770"/>
      <c r="AB869" s="770"/>
      <c r="AC869" s="770"/>
      <c r="AD869" s="770"/>
      <c r="AE869" s="770"/>
      <c r="AF869" s="770"/>
      <c r="AG869" s="770"/>
      <c r="AH869" s="770"/>
      <c r="AI869" s="770"/>
      <c r="AJ869" s="770"/>
      <c r="AK869" s="770"/>
      <c r="AL869" s="770"/>
      <c r="AM869" s="770"/>
      <c r="AN869" s="770"/>
      <c r="AO869" s="770"/>
      <c r="AP869" s="770"/>
      <c r="AQ869" s="770"/>
      <c r="AR869" s="770"/>
      <c r="AS869" s="770"/>
      <c r="AT869" s="770"/>
      <c r="AU869" s="770"/>
      <c r="AV869" s="770"/>
      <c r="AW869" s="770"/>
      <c r="AX869" s="770"/>
      <c r="AY869" s="770"/>
      <c r="AZ869" s="770"/>
      <c r="BA869" s="770"/>
      <c r="BB869" s="770"/>
      <c r="BC869" s="770"/>
      <c r="BD869" s="770"/>
      <c r="BE869" s="770"/>
      <c r="BF869" s="770"/>
      <c r="BG869" s="770"/>
      <c r="BH869" s="770"/>
      <c r="BI869" s="770"/>
      <c r="BJ869" s="770"/>
      <c r="BK869" s="770"/>
      <c r="BL869" s="770"/>
      <c r="BM869" s="770"/>
      <c r="BN869" s="770"/>
      <c r="BO869" s="770"/>
      <c r="BP869" s="770"/>
      <c r="BQ869" s="770"/>
      <c r="BR869" s="770"/>
      <c r="BS869" s="770"/>
      <c r="BT869" s="770"/>
      <c r="BU869" s="770"/>
      <c r="BV869" s="770"/>
      <c r="BW869" s="770"/>
      <c r="BX869" s="770"/>
      <c r="BY869" s="770"/>
      <c r="BZ869" s="770"/>
      <c r="CA869" s="770"/>
      <c r="CB869" s="770"/>
      <c r="CC869" s="770"/>
      <c r="CD869" s="770"/>
      <c r="CE869" s="770"/>
      <c r="CF869" s="770"/>
      <c r="CG869" s="770"/>
      <c r="CH869" s="770"/>
      <c r="CI869" s="770"/>
      <c r="CJ869" s="770"/>
      <c r="CK869" s="770"/>
      <c r="CL869" s="770"/>
      <c r="CM869" s="770"/>
      <c r="CN869" s="770"/>
      <c r="CO869" s="770"/>
      <c r="CP869" s="770"/>
      <c r="CQ869" s="770"/>
      <c r="CR869" s="770"/>
      <c r="CS869" s="770"/>
      <c r="CT869" s="770"/>
      <c r="CU869" s="770"/>
      <c r="CV869" s="770"/>
      <c r="CW869" s="770"/>
      <c r="CX869" s="770"/>
      <c r="CY869" s="770"/>
      <c r="CZ869" s="770"/>
      <c r="DA869" s="770"/>
      <c r="DB869" s="770"/>
      <c r="DC869" s="770"/>
      <c r="DD869" s="770"/>
      <c r="DE869" s="770"/>
      <c r="DF869" s="770"/>
      <c r="DG869" s="770"/>
      <c r="DH869" s="770"/>
      <c r="DI869" s="770"/>
      <c r="DJ869" s="770"/>
      <c r="DK869" s="770"/>
      <c r="DL869" s="770"/>
      <c r="DM869" s="770"/>
      <c r="DN869" s="770"/>
      <c r="DO869" s="770"/>
      <c r="DP869" s="770"/>
      <c r="DQ869" s="770"/>
      <c r="DR869" s="770"/>
      <c r="DS869" s="770"/>
      <c r="DT869" s="770"/>
      <c r="DU869" s="770"/>
      <c r="DV869" s="770"/>
      <c r="DW869" s="770"/>
      <c r="DX869" s="770"/>
      <c r="DY869" s="770"/>
      <c r="DZ869" s="770"/>
      <c r="EA869" s="770"/>
      <c r="EB869" s="770"/>
      <c r="EC869" s="770"/>
      <c r="ED869" s="770"/>
      <c r="EE869" s="770"/>
      <c r="EF869" s="770"/>
      <c r="EG869" s="770"/>
      <c r="EH869" s="770"/>
      <c r="EI869" s="770"/>
      <c r="EJ869" s="770"/>
      <c r="EK869" s="770"/>
      <c r="EL869" s="770"/>
      <c r="EM869" s="770"/>
      <c r="EN869" s="770"/>
      <c r="EO869" s="770"/>
      <c r="EP869" s="770"/>
      <c r="EQ869" s="770"/>
      <c r="ER869" s="770"/>
      <c r="ES869" s="770"/>
      <c r="ET869" s="770"/>
      <c r="EU869" s="770"/>
      <c r="EV869" s="770"/>
      <c r="EW869" s="770"/>
      <c r="EX869" s="770"/>
      <c r="EY869" s="770"/>
      <c r="EZ869" s="770"/>
      <c r="FA869" s="770"/>
      <c r="FB869" s="770"/>
      <c r="FC869" s="770"/>
      <c r="FD869" s="770"/>
      <c r="FE869" s="770"/>
      <c r="FF869" s="770"/>
      <c r="FG869" s="770"/>
      <c r="FH869" s="770"/>
      <c r="FI869" s="770"/>
      <c r="FJ869" s="770"/>
      <c r="FK869" s="770"/>
      <c r="FL869" s="770"/>
      <c r="FM869" s="770"/>
      <c r="FN869" s="770"/>
      <c r="FO869" s="770"/>
      <c r="FP869" s="770"/>
      <c r="FQ869" s="770"/>
      <c r="FR869" s="770"/>
      <c r="FS869" s="770"/>
      <c r="FT869" s="770"/>
      <c r="FU869" s="770"/>
      <c r="FV869" s="770"/>
      <c r="FW869" s="770"/>
      <c r="FX869" s="770"/>
      <c r="FY869" s="770"/>
      <c r="FZ869" s="770"/>
      <c r="GA869" s="770"/>
      <c r="GB869" s="770"/>
      <c r="GC869" s="770"/>
      <c r="GD869" s="770"/>
      <c r="GE869" s="770"/>
      <c r="GF869" s="770"/>
      <c r="GG869" s="770"/>
      <c r="GH869" s="770"/>
      <c r="GI869" s="770"/>
      <c r="GJ869" s="770"/>
      <c r="GK869" s="770"/>
      <c r="GL869" s="770"/>
      <c r="GM869" s="770"/>
      <c r="GN869" s="770"/>
      <c r="GO869" s="770"/>
      <c r="GP869" s="770"/>
      <c r="GQ869" s="770"/>
      <c r="GR869" s="770"/>
      <c r="GS869" s="770"/>
      <c r="GT869" s="770"/>
      <c r="GU869" s="770"/>
      <c r="GV869" s="770"/>
      <c r="GW869" s="770"/>
      <c r="GX869" s="770"/>
      <c r="GY869" s="770"/>
      <c r="GZ869" s="770"/>
      <c r="HA869" s="770"/>
      <c r="HB869" s="770"/>
      <c r="HC869" s="770"/>
      <c r="HD869" s="770"/>
      <c r="HE869" s="770"/>
      <c r="HF869" s="770"/>
      <c r="HG869" s="770"/>
      <c r="HH869" s="770"/>
      <c r="HI869" s="770"/>
      <c r="HJ869" s="770"/>
      <c r="HK869" s="770"/>
      <c r="HL869" s="770"/>
      <c r="HM869" s="770"/>
      <c r="HN869" s="770"/>
      <c r="HO869" s="770"/>
      <c r="HP869" s="770"/>
      <c r="HQ869" s="770"/>
      <c r="HR869" s="770"/>
      <c r="HS869" s="770"/>
      <c r="HT869" s="770"/>
      <c r="HU869" s="770"/>
      <c r="HV869" s="770"/>
      <c r="HW869" s="770"/>
      <c r="HX869" s="770"/>
      <c r="HY869" s="770"/>
      <c r="HZ869" s="770"/>
      <c r="IA869" s="770"/>
      <c r="IB869" s="770"/>
      <c r="IC869" s="770"/>
      <c r="ID869" s="770"/>
      <c r="IE869" s="770"/>
      <c r="IF869" s="770"/>
      <c r="IG869" s="770"/>
      <c r="IH869" s="770"/>
      <c r="II869" s="770"/>
      <c r="IJ869" s="770"/>
      <c r="IK869" s="770"/>
    </row>
    <row r="870" spans="1:245">
      <c r="A870" s="552"/>
      <c r="B870" s="1067"/>
      <c r="C870" s="553"/>
      <c r="D870" s="554"/>
      <c r="E870" s="537"/>
      <c r="F870" s="555"/>
      <c r="G870" s="556"/>
      <c r="H870" s="1390"/>
      <c r="I870" s="1390"/>
      <c r="J870" s="1378"/>
      <c r="K870" s="1379"/>
    </row>
    <row r="871" spans="1:245">
      <c r="A871" s="188"/>
      <c r="B871" s="1047" t="s">
        <v>841</v>
      </c>
      <c r="C871" s="1192" t="s">
        <v>1272</v>
      </c>
      <c r="D871" s="222"/>
      <c r="E871" s="108"/>
      <c r="F871" s="71"/>
      <c r="G871" s="72"/>
      <c r="H871" s="1413"/>
      <c r="I871" s="1413"/>
      <c r="J871" s="1378"/>
      <c r="K871" s="1379"/>
    </row>
    <row r="872" spans="1:245">
      <c r="A872" s="92"/>
      <c r="B872" s="934"/>
      <c r="C872" s="79"/>
      <c r="D872" s="86"/>
      <c r="E872" s="105"/>
      <c r="F872" s="557"/>
      <c r="G872" s="557"/>
      <c r="H872" s="1444"/>
      <c r="I872" s="1444"/>
      <c r="J872" s="1378"/>
      <c r="K872" s="1379"/>
    </row>
    <row r="873" spans="1:245" ht="32.25">
      <c r="A873" s="491" t="s">
        <v>60</v>
      </c>
      <c r="B873" s="1048" t="s">
        <v>436</v>
      </c>
      <c r="C873" s="889" t="s">
        <v>1256</v>
      </c>
      <c r="D873" s="493" t="s">
        <v>402</v>
      </c>
      <c r="E873" s="105">
        <f>+(0.6+12.7+0.6)*(0.6+5.6+0.6)</f>
        <v>94.519999999999982</v>
      </c>
      <c r="F873" s="807"/>
      <c r="G873" s="88">
        <f>F873*E873</f>
        <v>0</v>
      </c>
      <c r="H873" s="1392"/>
      <c r="I873" s="1392"/>
      <c r="J873" s="1378"/>
      <c r="K873" s="1379"/>
    </row>
    <row r="874" spans="1:245">
      <c r="A874" s="92"/>
      <c r="B874" s="934"/>
      <c r="C874" s="79"/>
      <c r="D874" s="86"/>
      <c r="E874" s="105"/>
      <c r="F874" s="557"/>
      <c r="G874" s="557"/>
      <c r="H874" s="1444"/>
      <c r="I874" s="1444"/>
      <c r="J874" s="1378"/>
      <c r="K874" s="1379"/>
    </row>
    <row r="875" spans="1:245" ht="47.25">
      <c r="A875" s="491" t="s">
        <v>63</v>
      </c>
      <c r="B875" s="1048" t="s">
        <v>437</v>
      </c>
      <c r="C875" s="889" t="s">
        <v>1256</v>
      </c>
      <c r="D875" s="494" t="s">
        <v>405</v>
      </c>
      <c r="E875" s="105">
        <v>296.58999999999997</v>
      </c>
      <c r="F875" s="807"/>
      <c r="G875" s="88">
        <f>F875*E875</f>
        <v>0</v>
      </c>
      <c r="H875" s="1393"/>
      <c r="I875" s="1393"/>
      <c r="J875" s="1378"/>
      <c r="K875" s="1379"/>
    </row>
    <row r="876" spans="1:245">
      <c r="A876" s="92"/>
      <c r="B876" s="455"/>
      <c r="C876" s="183"/>
      <c r="D876" s="106"/>
      <c r="E876" s="105"/>
      <c r="F876" s="88"/>
      <c r="G876" s="88"/>
      <c r="H876" s="1391"/>
      <c r="I876" s="1391"/>
      <c r="J876" s="1378"/>
      <c r="K876" s="1379"/>
    </row>
    <row r="877" spans="1:245" ht="78.75">
      <c r="A877" s="491" t="s">
        <v>438</v>
      </c>
      <c r="B877" s="1048" t="s">
        <v>439</v>
      </c>
      <c r="C877" s="889" t="s">
        <v>1256</v>
      </c>
      <c r="D877" s="494" t="s">
        <v>405</v>
      </c>
      <c r="E877" s="105">
        <v>2.4500000000000002</v>
      </c>
      <c r="F877" s="807"/>
      <c r="G877" s="88">
        <f>F877*E877</f>
        <v>0</v>
      </c>
      <c r="H877" s="1393"/>
      <c r="I877" s="1393"/>
      <c r="J877" s="1378"/>
      <c r="K877" s="1379"/>
    </row>
    <row r="878" spans="1:245">
      <c r="A878" s="92"/>
      <c r="B878" s="1068"/>
      <c r="C878" s="558"/>
      <c r="D878" s="134"/>
      <c r="E878" s="105"/>
      <c r="F878" s="559"/>
      <c r="G878" s="560"/>
      <c r="H878" s="1445"/>
      <c r="I878" s="1445"/>
      <c r="J878" s="1378"/>
      <c r="K878" s="1379"/>
    </row>
    <row r="879" spans="1:245" ht="78.75">
      <c r="A879" s="491" t="s">
        <v>65</v>
      </c>
      <c r="B879" s="1048" t="s">
        <v>409</v>
      </c>
      <c r="C879" s="889" t="s">
        <v>1256</v>
      </c>
      <c r="D879" s="494" t="s">
        <v>405</v>
      </c>
      <c r="E879" s="105">
        <v>27.52</v>
      </c>
      <c r="F879" s="807"/>
      <c r="G879" s="88">
        <f>F879*E879</f>
        <v>0</v>
      </c>
      <c r="H879" s="1393"/>
      <c r="I879" s="1393"/>
      <c r="J879" s="1378"/>
      <c r="K879" s="1379"/>
    </row>
    <row r="880" spans="1:245">
      <c r="A880" s="92"/>
      <c r="B880" s="934"/>
      <c r="C880" s="79"/>
      <c r="D880" s="86"/>
      <c r="E880" s="83"/>
      <c r="F880" s="86"/>
      <c r="G880" s="86"/>
      <c r="H880" s="1421"/>
      <c r="I880" s="1421"/>
      <c r="J880" s="1378"/>
      <c r="K880" s="1379"/>
    </row>
    <row r="881" spans="1:11" ht="94.5">
      <c r="A881" s="491" t="s">
        <v>368</v>
      </c>
      <c r="B881" s="1048" t="s">
        <v>440</v>
      </c>
      <c r="C881" s="889" t="s">
        <v>1256</v>
      </c>
      <c r="D881" s="494" t="s">
        <v>405</v>
      </c>
      <c r="E881" s="150">
        <f>392-(27.52+60.45*0.1+229.8)</f>
        <v>128.63499999999999</v>
      </c>
      <c r="F881" s="807"/>
      <c r="G881" s="88">
        <f>F881*E881</f>
        <v>0</v>
      </c>
      <c r="H881" s="1393"/>
      <c r="I881" s="1393"/>
      <c r="J881" s="1378"/>
      <c r="K881" s="1379"/>
    </row>
    <row r="882" spans="1:11">
      <c r="A882" s="92"/>
      <c r="B882" s="934"/>
      <c r="C882" s="79"/>
      <c r="D882" s="134"/>
      <c r="E882" s="107"/>
      <c r="F882" s="88"/>
      <c r="G882" s="88"/>
      <c r="H882" s="1391"/>
      <c r="I882" s="1391"/>
      <c r="J882" s="1378"/>
      <c r="K882" s="1379"/>
    </row>
    <row r="883" spans="1:11" ht="63">
      <c r="A883" s="497">
        <v>5</v>
      </c>
      <c r="B883" s="1048" t="s">
        <v>441</v>
      </c>
      <c r="C883" s="889" t="s">
        <v>1256</v>
      </c>
      <c r="D883" s="493" t="s">
        <v>404</v>
      </c>
      <c r="E883" s="107">
        <v>84.5</v>
      </c>
      <c r="F883" s="807"/>
      <c r="G883" s="88">
        <f>F883*E883</f>
        <v>0</v>
      </c>
      <c r="H883" s="1393"/>
      <c r="I883" s="1393"/>
      <c r="J883" s="1378"/>
      <c r="K883" s="1379"/>
    </row>
    <row r="884" spans="1:11">
      <c r="A884" s="180"/>
      <c r="B884" s="934"/>
      <c r="C884" s="79"/>
      <c r="D884" s="134"/>
      <c r="E884" s="107"/>
      <c r="F884" s="88"/>
      <c r="G884" s="88"/>
      <c r="H884" s="1391"/>
      <c r="I884" s="1391"/>
      <c r="J884" s="1378"/>
      <c r="K884" s="1379"/>
    </row>
    <row r="885" spans="1:11" ht="66">
      <c r="A885" s="497">
        <v>6</v>
      </c>
      <c r="B885" s="1048" t="s">
        <v>442</v>
      </c>
      <c r="C885" s="889" t="s">
        <v>1256</v>
      </c>
      <c r="D885" s="493" t="s">
        <v>404</v>
      </c>
      <c r="E885" s="106">
        <f>296.59-84.5</f>
        <v>212.08999999999997</v>
      </c>
      <c r="F885" s="807"/>
      <c r="G885" s="88">
        <f>F885*E885</f>
        <v>0</v>
      </c>
      <c r="H885" s="1393"/>
      <c r="I885" s="1393"/>
      <c r="J885" s="1378"/>
      <c r="K885" s="1379"/>
    </row>
    <row r="886" spans="1:11">
      <c r="A886" s="194"/>
      <c r="B886" s="1049" t="s">
        <v>58</v>
      </c>
      <c r="C886" s="578"/>
      <c r="D886" s="195"/>
      <c r="E886" s="196"/>
      <c r="F886" s="197"/>
      <c r="G886" s="99">
        <f>SUM(G873:G885)</f>
        <v>0</v>
      </c>
      <c r="H886" s="1401"/>
      <c r="I886" s="1401"/>
      <c r="J886" s="1378"/>
      <c r="K886" s="1379"/>
    </row>
    <row r="887" spans="1:11">
      <c r="A887" s="522"/>
      <c r="B887" s="1058"/>
      <c r="C887" s="523"/>
      <c r="D887" s="524"/>
      <c r="E887" s="525"/>
      <c r="F887" s="526"/>
      <c r="G887" s="526"/>
      <c r="H887" s="1398"/>
      <c r="I887" s="1398"/>
      <c r="J887" s="1378"/>
      <c r="K887" s="1379"/>
    </row>
    <row r="888" spans="1:11" ht="47.25">
      <c r="A888" s="169"/>
      <c r="B888" s="1056" t="s">
        <v>59</v>
      </c>
      <c r="C888" s="1188" t="s">
        <v>1244</v>
      </c>
      <c r="D888" s="222"/>
      <c r="E888" s="108"/>
      <c r="F888" s="109"/>
      <c r="G888" s="110"/>
      <c r="H888" s="1391"/>
      <c r="I888" s="1391"/>
      <c r="J888" s="1378"/>
      <c r="K888" s="1379"/>
    </row>
    <row r="889" spans="1:11">
      <c r="A889" s="546"/>
      <c r="B889" s="1069"/>
      <c r="C889" s="561"/>
      <c r="D889" s="548"/>
      <c r="E889" s="549"/>
      <c r="F889" s="550"/>
      <c r="G889" s="550"/>
      <c r="H889" s="1391"/>
      <c r="I889" s="1391"/>
      <c r="J889" s="1378"/>
      <c r="K889" s="1379"/>
    </row>
    <row r="890" spans="1:11" ht="78.75">
      <c r="A890" s="491" t="s">
        <v>47</v>
      </c>
      <c r="B890" s="1055" t="s">
        <v>443</v>
      </c>
      <c r="C890" s="889" t="s">
        <v>1256</v>
      </c>
      <c r="D890" s="493" t="s">
        <v>403</v>
      </c>
      <c r="E890" s="89">
        <f>5.8*6.1+4.3*5.83</f>
        <v>60.448999999999998</v>
      </c>
      <c r="F890" s="807"/>
      <c r="G890" s="88">
        <f>F890*E890</f>
        <v>0</v>
      </c>
      <c r="H890" s="1393"/>
      <c r="I890" s="1393"/>
      <c r="J890" s="1378"/>
      <c r="K890" s="1379"/>
    </row>
    <row r="891" spans="1:11">
      <c r="A891" s="562"/>
      <c r="B891" s="1070"/>
      <c r="C891" s="563"/>
      <c r="D891" s="86"/>
      <c r="E891" s="460"/>
      <c r="F891" s="557"/>
      <c r="G891" s="557"/>
      <c r="H891" s="1444"/>
      <c r="I891" s="1444"/>
      <c r="J891" s="1378"/>
      <c r="K891" s="1379"/>
    </row>
    <row r="892" spans="1:11" ht="126">
      <c r="A892" s="491" t="s">
        <v>63</v>
      </c>
      <c r="B892" s="1071" t="s">
        <v>444</v>
      </c>
      <c r="C892" s="889" t="s">
        <v>1256</v>
      </c>
      <c r="D892" s="493" t="s">
        <v>404</v>
      </c>
      <c r="E892" s="105">
        <f>+(5.6*5.1-(1*1))*0.35+(1.8*1.8*0.35)+(4.1*5.63)*0.3</f>
        <v>17.704899999999995</v>
      </c>
      <c r="F892" s="807"/>
      <c r="G892" s="88">
        <f>F892*E892</f>
        <v>0</v>
      </c>
      <c r="H892" s="1393"/>
      <c r="I892" s="1393"/>
      <c r="J892" s="1378"/>
      <c r="K892" s="1379"/>
    </row>
    <row r="893" spans="1:11">
      <c r="A893" s="534"/>
      <c r="B893" s="1069"/>
      <c r="C893" s="561"/>
      <c r="D893" s="86"/>
      <c r="E893" s="105"/>
      <c r="F893" s="557"/>
      <c r="G893" s="557"/>
      <c r="H893" s="1444"/>
      <c r="I893" s="1444"/>
      <c r="J893" s="1378"/>
      <c r="K893" s="1379"/>
    </row>
    <row r="894" spans="1:11" ht="110.25">
      <c r="A894" s="510">
        <v>3</v>
      </c>
      <c r="B894" s="1048" t="s">
        <v>445</v>
      </c>
      <c r="C894" s="889" t="s">
        <v>1256</v>
      </c>
      <c r="D894" s="493" t="s">
        <v>404</v>
      </c>
      <c r="E894" s="105">
        <v>53.88</v>
      </c>
      <c r="F894" s="807"/>
      <c r="G894" s="88">
        <f>F894*E894</f>
        <v>0</v>
      </c>
      <c r="H894" s="1393"/>
      <c r="I894" s="1393"/>
      <c r="J894" s="1378"/>
      <c r="K894" s="1379"/>
    </row>
    <row r="895" spans="1:11">
      <c r="A895" s="562"/>
      <c r="B895" s="1072"/>
      <c r="C895" s="567"/>
      <c r="D895" s="564"/>
      <c r="E895" s="565"/>
      <c r="F895" s="550"/>
      <c r="G895" s="550"/>
      <c r="H895" s="1391"/>
      <c r="I895" s="1391"/>
      <c r="J895" s="1378"/>
      <c r="K895" s="1379"/>
    </row>
    <row r="896" spans="1:11" ht="126">
      <c r="A896" s="491" t="s">
        <v>350</v>
      </c>
      <c r="B896" s="1055" t="s">
        <v>446</v>
      </c>
      <c r="C896" s="889" t="s">
        <v>1256</v>
      </c>
      <c r="D896" s="493" t="s">
        <v>404</v>
      </c>
      <c r="E896" s="566">
        <v>10.32</v>
      </c>
      <c r="F896" s="807"/>
      <c r="G896" s="88">
        <f>F896*E896</f>
        <v>0</v>
      </c>
      <c r="H896" s="1393"/>
      <c r="I896" s="1393"/>
      <c r="J896" s="1378"/>
      <c r="K896" s="1379"/>
    </row>
    <row r="897" spans="1:11">
      <c r="A897" s="562"/>
      <c r="B897" s="1070"/>
      <c r="C897" s="563"/>
      <c r="D897" s="134"/>
      <c r="E897" s="518"/>
      <c r="F897" s="88"/>
      <c r="G897" s="88"/>
      <c r="H897" s="1391"/>
      <c r="I897" s="1391"/>
      <c r="J897" s="1378"/>
      <c r="K897" s="1379"/>
    </row>
    <row r="898" spans="1:11" ht="110.25">
      <c r="A898" s="491" t="s">
        <v>73</v>
      </c>
      <c r="B898" s="1055" t="s">
        <v>447</v>
      </c>
      <c r="C898" s="889" t="s">
        <v>1256</v>
      </c>
      <c r="D898" s="493" t="s">
        <v>403</v>
      </c>
      <c r="E898" s="89">
        <f>5.6*5.9+4.1*5.63</f>
        <v>56.122999999999998</v>
      </c>
      <c r="F898" s="807"/>
      <c r="G898" s="88">
        <f>F898*E898</f>
        <v>0</v>
      </c>
      <c r="H898" s="1393"/>
      <c r="I898" s="1393"/>
      <c r="J898" s="1378"/>
      <c r="K898" s="1379"/>
    </row>
    <row r="899" spans="1:11">
      <c r="A899" s="519"/>
      <c r="B899" s="1049" t="s">
        <v>80</v>
      </c>
      <c r="C899" s="495"/>
      <c r="D899" s="195"/>
      <c r="E899" s="196"/>
      <c r="F899" s="197"/>
      <c r="G899" s="99">
        <f>SUM(G890:G898)</f>
        <v>0</v>
      </c>
      <c r="H899" s="1401"/>
      <c r="I899" s="1401"/>
      <c r="J899" s="1378"/>
      <c r="K899" s="1379"/>
    </row>
    <row r="900" spans="1:11">
      <c r="A900" s="522"/>
      <c r="B900" s="1058"/>
      <c r="C900" s="523"/>
      <c r="D900" s="524"/>
      <c r="E900" s="525"/>
      <c r="F900" s="526"/>
      <c r="G900" s="526"/>
      <c r="H900" s="1398"/>
      <c r="I900" s="1398"/>
      <c r="J900" s="1378"/>
      <c r="K900" s="1379"/>
    </row>
    <row r="901" spans="1:11">
      <c r="A901" s="101"/>
      <c r="B901" s="1050" t="s">
        <v>81</v>
      </c>
      <c r="C901" s="1188" t="s">
        <v>1244</v>
      </c>
      <c r="D901" s="189"/>
      <c r="E901" s="222"/>
      <c r="F901" s="109"/>
      <c r="G901" s="205"/>
      <c r="H901" s="1391"/>
      <c r="I901" s="1391"/>
      <c r="J901" s="1378"/>
      <c r="K901" s="1379"/>
    </row>
    <row r="902" spans="1:11">
      <c r="A902" s="568"/>
      <c r="B902" s="1073"/>
      <c r="C902" s="569"/>
      <c r="D902" s="134"/>
      <c r="E902" s="107"/>
      <c r="F902" s="88"/>
      <c r="G902" s="88"/>
      <c r="H902" s="1391"/>
      <c r="I902" s="1391"/>
      <c r="J902" s="1378"/>
      <c r="K902" s="1379"/>
    </row>
    <row r="903" spans="1:11" ht="63">
      <c r="A903" s="491" t="s">
        <v>60</v>
      </c>
      <c r="B903" s="1055" t="s">
        <v>82</v>
      </c>
      <c r="C903" s="889" t="s">
        <v>1256</v>
      </c>
      <c r="D903" s="440"/>
      <c r="E903" s="62"/>
      <c r="F903" s="82"/>
      <c r="G903" s="64"/>
      <c r="H903" s="1391"/>
      <c r="I903" s="1391"/>
      <c r="J903" s="1378"/>
      <c r="K903" s="1379"/>
    </row>
    <row r="904" spans="1:11">
      <c r="A904" s="92"/>
      <c r="B904" s="1054" t="s">
        <v>373</v>
      </c>
      <c r="C904" s="504"/>
      <c r="D904" s="440"/>
      <c r="E904" s="62"/>
      <c r="F904" s="82"/>
      <c r="G904" s="64"/>
      <c r="H904" s="1391"/>
      <c r="I904" s="1391"/>
      <c r="J904" s="1378"/>
      <c r="K904" s="1379"/>
    </row>
    <row r="905" spans="1:11">
      <c r="A905" s="92"/>
      <c r="B905" s="1048" t="s">
        <v>336</v>
      </c>
      <c r="C905" s="492"/>
      <c r="D905" s="440"/>
      <c r="E905" s="62"/>
      <c r="F905" s="82"/>
      <c r="G905" s="64"/>
      <c r="H905" s="1391"/>
      <c r="I905" s="1391"/>
      <c r="J905" s="1378"/>
      <c r="K905" s="1379"/>
    </row>
    <row r="906" spans="1:11">
      <c r="A906" s="92"/>
      <c r="B906" s="1048" t="s">
        <v>337</v>
      </c>
      <c r="C906" s="492"/>
      <c r="D906" s="493" t="s">
        <v>83</v>
      </c>
      <c r="E906" s="107">
        <f>+(17.7+53.88+10.32)*130</f>
        <v>10647</v>
      </c>
      <c r="F906" s="807"/>
      <c r="G906" s="88">
        <f>F906*E906</f>
        <v>0</v>
      </c>
      <c r="H906" s="1393"/>
      <c r="I906" s="1393"/>
      <c r="J906" s="1378"/>
      <c r="K906" s="1379"/>
    </row>
    <row r="907" spans="1:11">
      <c r="A907" s="95"/>
      <c r="B907" s="1049" t="s">
        <v>84</v>
      </c>
      <c r="C907" s="495"/>
      <c r="D907" s="155"/>
      <c r="E907" s="521"/>
      <c r="F907" s="98"/>
      <c r="G907" s="99">
        <f>SUM(G903:G906)</f>
        <v>0</v>
      </c>
      <c r="H907" s="1396"/>
      <c r="I907" s="1396"/>
      <c r="J907" s="1378"/>
      <c r="K907" s="1379"/>
    </row>
    <row r="908" spans="1:11">
      <c r="A908" s="522"/>
      <c r="B908" s="1058"/>
      <c r="C908" s="523"/>
      <c r="D908" s="524"/>
      <c r="E908" s="525"/>
      <c r="F908" s="526"/>
      <c r="G908" s="526"/>
      <c r="H908" s="1398"/>
      <c r="I908" s="1398"/>
      <c r="J908" s="1378"/>
      <c r="K908" s="1379"/>
    </row>
    <row r="909" spans="1:11">
      <c r="A909" s="69"/>
      <c r="B909" s="1056" t="s">
        <v>419</v>
      </c>
      <c r="C909" s="1188" t="s">
        <v>1244</v>
      </c>
      <c r="D909" s="527"/>
      <c r="E909" s="514"/>
      <c r="F909" s="109"/>
      <c r="G909" s="122"/>
      <c r="H909" s="1391"/>
      <c r="I909" s="1391"/>
      <c r="J909" s="1378"/>
      <c r="K909" s="1379"/>
    </row>
    <row r="910" spans="1:11">
      <c r="A910" s="193"/>
      <c r="B910" s="1057"/>
      <c r="C910" s="517"/>
      <c r="D910" s="190"/>
      <c r="E910" s="191"/>
      <c r="F910" s="174"/>
      <c r="G910" s="174"/>
      <c r="H910" s="1398"/>
      <c r="I910" s="1398"/>
      <c r="J910" s="1378"/>
      <c r="K910" s="1379"/>
    </row>
    <row r="911" spans="1:11" ht="94.5">
      <c r="A911" s="491" t="s">
        <v>60</v>
      </c>
      <c r="B911" s="1059" t="s">
        <v>448</v>
      </c>
      <c r="C911" s="889" t="s">
        <v>1256</v>
      </c>
      <c r="D911" s="493" t="s">
        <v>418</v>
      </c>
      <c r="E911" s="142">
        <f>2*5.6*5.9+4.1*5.62*2</f>
        <v>112.16399999999999</v>
      </c>
      <c r="F911" s="807"/>
      <c r="G911" s="82">
        <f>F911*E911</f>
        <v>0</v>
      </c>
      <c r="H911" s="1393"/>
      <c r="I911" s="1393"/>
      <c r="J911" s="1378"/>
      <c r="K911" s="1379"/>
    </row>
    <row r="912" spans="1:11">
      <c r="A912" s="522"/>
      <c r="B912" s="1058"/>
      <c r="C912" s="523"/>
      <c r="D912" s="190"/>
      <c r="E912" s="191"/>
      <c r="F912" s="174"/>
      <c r="G912" s="174"/>
      <c r="H912" s="1398"/>
      <c r="I912" s="1398"/>
      <c r="J912" s="1378"/>
      <c r="K912" s="1379"/>
    </row>
    <row r="913" spans="1:11" ht="63">
      <c r="A913" s="491" t="s">
        <v>449</v>
      </c>
      <c r="B913" s="1059" t="s">
        <v>450</v>
      </c>
      <c r="C913" s="889" t="s">
        <v>1256</v>
      </c>
      <c r="D913" s="493" t="s">
        <v>418</v>
      </c>
      <c r="E913" s="89">
        <f>4.85*(5.6+5.9)*2+3.1*(4.1+5.63)*2+0.5*1.7*4</f>
        <v>175.27600000000001</v>
      </c>
      <c r="F913" s="807"/>
      <c r="G913" s="82">
        <f>F913*E913</f>
        <v>0</v>
      </c>
      <c r="H913" s="1393"/>
      <c r="I913" s="1393"/>
      <c r="J913" s="1378"/>
      <c r="K913" s="1379"/>
    </row>
    <row r="914" spans="1:11">
      <c r="A914" s="522"/>
      <c r="B914" s="1058"/>
      <c r="C914" s="523"/>
      <c r="D914" s="190"/>
      <c r="E914" s="191"/>
      <c r="F914" s="174"/>
      <c r="G914" s="174"/>
      <c r="H914" s="1398"/>
      <c r="I914" s="1398"/>
      <c r="J914" s="1378"/>
      <c r="K914" s="1379"/>
    </row>
    <row r="915" spans="1:11" ht="63">
      <c r="A915" s="497">
        <v>2</v>
      </c>
      <c r="B915" s="1055" t="s">
        <v>451</v>
      </c>
      <c r="C915" s="889" t="s">
        <v>1256</v>
      </c>
      <c r="D915" s="493" t="s">
        <v>418</v>
      </c>
      <c r="E915" s="105">
        <f>4.85*(5.6+5.9)*2+3.1*(4.1+5.63)*2+0.5*1.7*4</f>
        <v>175.27600000000001</v>
      </c>
      <c r="F915" s="807"/>
      <c r="G915" s="82">
        <f>F915*E915</f>
        <v>0</v>
      </c>
      <c r="H915" s="1393"/>
      <c r="I915" s="1393"/>
      <c r="J915" s="1378"/>
      <c r="K915" s="1379"/>
    </row>
    <row r="916" spans="1:11">
      <c r="A916" s="522"/>
      <c r="B916" s="1058"/>
      <c r="C916" s="523"/>
      <c r="D916" s="83"/>
      <c r="E916" s="105"/>
      <c r="F916" s="82"/>
      <c r="G916" s="82"/>
      <c r="H916" s="1391"/>
      <c r="I916" s="1391"/>
      <c r="J916" s="1378"/>
      <c r="K916" s="1379"/>
    </row>
    <row r="917" spans="1:11" ht="94.5">
      <c r="A917" s="497">
        <v>3</v>
      </c>
      <c r="B917" s="1065" t="s">
        <v>452</v>
      </c>
      <c r="C917" s="889" t="s">
        <v>1256</v>
      </c>
      <c r="D917" s="493" t="s">
        <v>418</v>
      </c>
      <c r="E917" s="105">
        <v>231.21</v>
      </c>
      <c r="F917" s="807"/>
      <c r="G917" s="82">
        <f>F917*E917</f>
        <v>0</v>
      </c>
      <c r="H917" s="1393"/>
      <c r="I917" s="1393"/>
      <c r="J917" s="1378"/>
      <c r="K917" s="1379"/>
    </row>
    <row r="918" spans="1:11">
      <c r="A918" s="522"/>
      <c r="B918" s="1058"/>
      <c r="C918" s="523"/>
      <c r="D918" s="524"/>
      <c r="E918" s="525"/>
      <c r="F918" s="526"/>
      <c r="G918" s="526"/>
      <c r="H918" s="1398"/>
      <c r="I918" s="1398"/>
      <c r="J918" s="1378"/>
      <c r="K918" s="1379"/>
    </row>
    <row r="919" spans="1:11" ht="78.75">
      <c r="A919" s="497">
        <v>4</v>
      </c>
      <c r="B919" s="1059" t="s">
        <v>453</v>
      </c>
      <c r="C919" s="889" t="s">
        <v>1256</v>
      </c>
      <c r="D919" s="493" t="s">
        <v>176</v>
      </c>
      <c r="E919" s="261">
        <f>+(5.6+5.9)*2*2+4*5.4+(5.6+4.1)*2+4*3.1</f>
        <v>99.4</v>
      </c>
      <c r="F919" s="807"/>
      <c r="G919" s="88">
        <f>+F919*E919</f>
        <v>0</v>
      </c>
      <c r="H919" s="1393"/>
      <c r="I919" s="1393"/>
      <c r="J919" s="1378"/>
      <c r="K919" s="1379"/>
    </row>
    <row r="920" spans="1:11">
      <c r="A920" s="194"/>
      <c r="B920" s="1505" t="s">
        <v>110</v>
      </c>
      <c r="C920" s="1505"/>
      <c r="D920" s="1505"/>
      <c r="E920" s="1505"/>
      <c r="F920" s="197"/>
      <c r="G920" s="99">
        <f>SUM(G911:G919)</f>
        <v>0</v>
      </c>
      <c r="H920" s="1401"/>
      <c r="I920" s="1401"/>
      <c r="J920" s="1378"/>
      <c r="K920" s="1379"/>
    </row>
    <row r="921" spans="1:11">
      <c r="A921" s="522"/>
      <c r="B921" s="1058"/>
      <c r="C921" s="523"/>
      <c r="D921" s="524"/>
      <c r="E921" s="525"/>
      <c r="F921" s="526"/>
      <c r="G921" s="526"/>
      <c r="H921" s="1398"/>
      <c r="I921" s="1398"/>
      <c r="J921" s="1378"/>
      <c r="K921" s="1379"/>
    </row>
    <row r="922" spans="1:11">
      <c r="A922" s="188"/>
      <c r="B922" s="1047" t="s">
        <v>425</v>
      </c>
      <c r="C922" s="1188" t="s">
        <v>1244</v>
      </c>
      <c r="D922" s="514"/>
      <c r="E922" s="121"/>
      <c r="F922" s="171"/>
      <c r="G922" s="110"/>
      <c r="H922" s="1398"/>
      <c r="I922" s="1398"/>
      <c r="J922" s="1378"/>
      <c r="K922" s="1379"/>
    </row>
    <row r="923" spans="1:11">
      <c r="A923" s="522"/>
      <c r="B923" s="1074"/>
      <c r="C923" s="571"/>
      <c r="D923" s="548"/>
      <c r="E923" s="549"/>
      <c r="F923" s="526"/>
      <c r="G923" s="526"/>
      <c r="H923" s="1398"/>
      <c r="I923" s="1398"/>
      <c r="J923" s="1378"/>
      <c r="K923" s="1379"/>
    </row>
    <row r="924" spans="1:11" ht="94.5">
      <c r="A924" s="503">
        <v>1</v>
      </c>
      <c r="B924" s="1065" t="s">
        <v>454</v>
      </c>
      <c r="C924" s="889" t="s">
        <v>1256</v>
      </c>
      <c r="D924" s="528"/>
      <c r="E924" s="63"/>
      <c r="F924" s="529"/>
      <c r="G924" s="529"/>
      <c r="H924" s="1438"/>
      <c r="I924" s="1439"/>
      <c r="J924" s="1378"/>
      <c r="K924" s="1379"/>
    </row>
    <row r="925" spans="1:11">
      <c r="A925" s="75"/>
      <c r="B925" s="1062" t="s">
        <v>427</v>
      </c>
      <c r="C925" s="572"/>
      <c r="D925" s="531" t="s">
        <v>11</v>
      </c>
      <c r="E925" s="107">
        <v>2</v>
      </c>
      <c r="F925" s="807"/>
      <c r="G925" s="533">
        <f>E925*F925</f>
        <v>0</v>
      </c>
      <c r="H925" s="1440"/>
      <c r="I925" s="1392"/>
      <c r="J925" s="1378"/>
      <c r="K925" s="1379"/>
    </row>
    <row r="926" spans="1:11">
      <c r="A926" s="534"/>
      <c r="B926" s="1075"/>
      <c r="C926" s="573"/>
      <c r="D926" s="536"/>
      <c r="E926" s="537"/>
      <c r="F926" s="538"/>
      <c r="G926" s="538"/>
      <c r="H926" s="1438"/>
      <c r="I926" s="1439"/>
      <c r="J926" s="1378"/>
      <c r="K926" s="1379"/>
    </row>
    <row r="927" spans="1:11" ht="94.5">
      <c r="A927" s="497">
        <v>2</v>
      </c>
      <c r="B927" s="1065" t="s">
        <v>455</v>
      </c>
      <c r="C927" s="889" t="s">
        <v>1256</v>
      </c>
      <c r="D927" s="528"/>
      <c r="E927" s="574"/>
      <c r="F927" s="575"/>
      <c r="G927" s="575"/>
      <c r="H927" s="1446"/>
      <c r="I927" s="1447"/>
      <c r="J927" s="1378"/>
      <c r="K927" s="1379"/>
    </row>
    <row r="928" spans="1:11" ht="31.5">
      <c r="A928" s="193"/>
      <c r="B928" s="1076" t="s">
        <v>456</v>
      </c>
      <c r="C928" s="576"/>
      <c r="D928" s="531" t="s">
        <v>11</v>
      </c>
      <c r="E928" s="107">
        <v>1</v>
      </c>
      <c r="F928" s="807"/>
      <c r="G928" s="533">
        <f>E928*F928</f>
        <v>0</v>
      </c>
      <c r="H928" s="1440"/>
      <c r="I928" s="1392"/>
      <c r="J928" s="1378"/>
      <c r="K928" s="1379"/>
    </row>
    <row r="929" spans="1:11">
      <c r="A929" s="193"/>
      <c r="B929" s="1020"/>
      <c r="C929" s="387"/>
      <c r="D929" s="107"/>
      <c r="E929" s="107"/>
      <c r="F929" s="532"/>
      <c r="G929" s="533"/>
      <c r="H929" s="1448"/>
      <c r="I929" s="1406"/>
      <c r="J929" s="1378"/>
      <c r="K929" s="1379"/>
    </row>
    <row r="930" spans="1:11" ht="47.25">
      <c r="A930" s="497">
        <v>3</v>
      </c>
      <c r="B930" s="1065" t="s">
        <v>457</v>
      </c>
      <c r="C930" s="889" t="s">
        <v>1256</v>
      </c>
      <c r="D930" s="528"/>
      <c r="E930" s="574"/>
      <c r="F930" s="575"/>
      <c r="G930" s="575"/>
      <c r="H930" s="1446"/>
      <c r="I930" s="1447"/>
      <c r="J930" s="1378"/>
      <c r="K930" s="1379"/>
    </row>
    <row r="931" spans="1:11">
      <c r="A931" s="193"/>
      <c r="B931" s="1065" t="s">
        <v>429</v>
      </c>
      <c r="C931" s="570"/>
      <c r="D931" s="531" t="s">
        <v>11</v>
      </c>
      <c r="E931" s="107">
        <v>10</v>
      </c>
      <c r="F931" s="807"/>
      <c r="G931" s="533">
        <f>E931*F931</f>
        <v>0</v>
      </c>
      <c r="H931" s="1440"/>
      <c r="I931" s="1392"/>
      <c r="J931" s="1378"/>
      <c r="K931" s="1379"/>
    </row>
    <row r="932" spans="1:11">
      <c r="A932" s="194"/>
      <c r="B932" s="1505" t="s">
        <v>303</v>
      </c>
      <c r="C932" s="1505"/>
      <c r="D932" s="1505"/>
      <c r="E932" s="1505"/>
      <c r="F932" s="197"/>
      <c r="G932" s="99">
        <f>SUM(G925:G931)</f>
        <v>0</v>
      </c>
      <c r="H932" s="1401"/>
      <c r="I932" s="1401"/>
      <c r="J932" s="1378"/>
      <c r="K932" s="1379"/>
    </row>
    <row r="933" spans="1:11">
      <c r="A933" s="522"/>
      <c r="B933" s="1058"/>
      <c r="C933" s="523"/>
      <c r="D933" s="524"/>
      <c r="E933" s="525"/>
      <c r="F933" s="526"/>
      <c r="G933" s="526"/>
      <c r="H933" s="1398"/>
      <c r="I933" s="1398"/>
      <c r="J933" s="1378"/>
      <c r="K933" s="1379"/>
    </row>
    <row r="934" spans="1:11">
      <c r="A934" s="188"/>
      <c r="B934" s="1047" t="s">
        <v>390</v>
      </c>
      <c r="C934" s="490"/>
      <c r="D934" s="514"/>
      <c r="E934" s="121"/>
      <c r="F934" s="171"/>
      <c r="G934" s="110"/>
      <c r="H934" s="1398"/>
      <c r="I934" s="1398"/>
      <c r="J934" s="1378"/>
      <c r="K934" s="1379"/>
    </row>
    <row r="935" spans="1:11">
      <c r="A935" s="180"/>
      <c r="B935" s="934"/>
      <c r="C935" s="79"/>
      <c r="D935" s="131"/>
      <c r="E935" s="107"/>
      <c r="F935" s="88"/>
      <c r="G935" s="88"/>
      <c r="H935" s="1391"/>
      <c r="I935" s="1391"/>
      <c r="J935" s="1378"/>
      <c r="K935" s="1379"/>
    </row>
    <row r="936" spans="1:11" ht="63">
      <c r="A936" s="503">
        <v>1</v>
      </c>
      <c r="B936" s="1059" t="s">
        <v>430</v>
      </c>
      <c r="C936" s="889" t="s">
        <v>1256</v>
      </c>
      <c r="D936" s="493" t="s">
        <v>898</v>
      </c>
      <c r="E936" s="261">
        <v>1</v>
      </c>
      <c r="F936" s="807"/>
      <c r="G936" s="88">
        <f>+F936*E936</f>
        <v>0</v>
      </c>
      <c r="H936" s="1393"/>
      <c r="I936" s="1393"/>
      <c r="J936" s="1378"/>
      <c r="K936" s="1379"/>
    </row>
    <row r="937" spans="1:11">
      <c r="A937" s="180"/>
      <c r="B937" s="934"/>
      <c r="C937" s="79"/>
      <c r="D937" s="83"/>
      <c r="E937" s="142"/>
      <c r="F937" s="82"/>
      <c r="G937" s="82"/>
      <c r="H937" s="1391"/>
      <c r="I937" s="1391"/>
      <c r="J937" s="1378"/>
      <c r="K937" s="1379"/>
    </row>
    <row r="938" spans="1:11" ht="31.5">
      <c r="A938" s="503">
        <v>2</v>
      </c>
      <c r="B938" s="1059" t="s">
        <v>458</v>
      </c>
      <c r="C938" s="889" t="s">
        <v>1256</v>
      </c>
      <c r="D938" s="493" t="s">
        <v>898</v>
      </c>
      <c r="E938" s="261">
        <v>1</v>
      </c>
      <c r="F938" s="807"/>
      <c r="G938" s="88">
        <f>+F938*E938</f>
        <v>0</v>
      </c>
      <c r="H938" s="1393"/>
      <c r="I938" s="1393"/>
      <c r="J938" s="1378"/>
      <c r="K938" s="1379"/>
    </row>
    <row r="939" spans="1:11">
      <c r="A939" s="75"/>
      <c r="B939" s="1002"/>
      <c r="C939" s="192"/>
      <c r="D939" s="75"/>
      <c r="E939" s="67"/>
      <c r="F939" s="82"/>
      <c r="G939" s="82"/>
      <c r="H939" s="1391"/>
      <c r="I939" s="1391"/>
      <c r="J939" s="1378"/>
      <c r="K939" s="1379"/>
    </row>
    <row r="940" spans="1:11" ht="47.25">
      <c r="A940" s="503">
        <v>3</v>
      </c>
      <c r="B940" s="1059" t="s">
        <v>431</v>
      </c>
      <c r="C940" s="889" t="s">
        <v>1256</v>
      </c>
      <c r="D940" s="493" t="s">
        <v>11</v>
      </c>
      <c r="E940" s="261">
        <v>8</v>
      </c>
      <c r="F940" s="807"/>
      <c r="G940" s="88">
        <f>+F940*E940</f>
        <v>0</v>
      </c>
      <c r="H940" s="1393"/>
      <c r="I940" s="1393"/>
      <c r="J940" s="1378"/>
      <c r="K940" s="1379"/>
    </row>
    <row r="941" spans="1:11">
      <c r="A941" s="194"/>
      <c r="B941" s="1060" t="s">
        <v>245</v>
      </c>
      <c r="C941" s="544"/>
      <c r="D941" s="545"/>
      <c r="E941" s="196"/>
      <c r="F941" s="197"/>
      <c r="G941" s="99">
        <f>SUM(G936:G940)</f>
        <v>0</v>
      </c>
      <c r="H941" s="1401"/>
      <c r="I941" s="1401"/>
      <c r="J941" s="1378"/>
      <c r="K941" s="1379"/>
    </row>
    <row r="942" spans="1:11">
      <c r="A942" s="546"/>
      <c r="B942" s="1066"/>
      <c r="C942" s="547"/>
      <c r="D942" s="548"/>
      <c r="E942" s="549"/>
      <c r="F942" s="550"/>
      <c r="G942" s="526"/>
      <c r="H942" s="1391"/>
      <c r="I942" s="1391"/>
      <c r="J942" s="1378"/>
      <c r="K942" s="1379"/>
    </row>
    <row r="943" spans="1:11">
      <c r="A943" s="546"/>
      <c r="B943" s="1066"/>
      <c r="C943" s="547"/>
      <c r="D943" s="548"/>
      <c r="E943" s="549"/>
      <c r="F943" s="550"/>
      <c r="G943" s="526"/>
      <c r="H943" s="1391"/>
      <c r="I943" s="1391"/>
      <c r="J943" s="1378"/>
      <c r="K943" s="1379"/>
    </row>
    <row r="944" spans="1:11" ht="47.25">
      <c r="A944" s="262"/>
      <c r="B944" s="1077" t="s">
        <v>459</v>
      </c>
      <c r="C944" s="577"/>
      <c r="D944" s="447"/>
      <c r="E944" s="265"/>
      <c r="F944" s="499"/>
      <c r="G944" s="500"/>
      <c r="H944" s="1443"/>
      <c r="I944" s="1443"/>
      <c r="J944" s="1378"/>
      <c r="K944" s="1379"/>
    </row>
    <row r="945" spans="1:245">
      <c r="A945" s="497" t="s">
        <v>247</v>
      </c>
      <c r="B945" s="1052" t="s">
        <v>248</v>
      </c>
      <c r="C945" s="501"/>
      <c r="D945" s="134"/>
      <c r="E945" s="107"/>
      <c r="F945" s="88"/>
      <c r="G945" s="88">
        <f>G886</f>
        <v>0</v>
      </c>
      <c r="H945" s="1391"/>
      <c r="I945" s="1391"/>
      <c r="J945" s="1378"/>
      <c r="K945" s="1379"/>
    </row>
    <row r="946" spans="1:245">
      <c r="A946" s="498" t="s">
        <v>249</v>
      </c>
      <c r="B946" s="1053" t="s">
        <v>286</v>
      </c>
      <c r="C946" s="509"/>
      <c r="D946" s="131"/>
      <c r="E946" s="154"/>
      <c r="F946" s="88"/>
      <c r="G946" s="88">
        <f>G899</f>
        <v>0</v>
      </c>
      <c r="H946" s="1391"/>
      <c r="I946" s="1391"/>
      <c r="J946" s="1378"/>
      <c r="K946" s="1379"/>
    </row>
    <row r="947" spans="1:245">
      <c r="A947" s="498" t="s">
        <v>251</v>
      </c>
      <c r="B947" s="1053" t="s">
        <v>252</v>
      </c>
      <c r="C947" s="509"/>
      <c r="D947" s="131"/>
      <c r="E947" s="154"/>
      <c r="F947" s="88"/>
      <c r="G947" s="88">
        <f>+G907</f>
        <v>0</v>
      </c>
      <c r="H947" s="1391"/>
      <c r="I947" s="1391"/>
      <c r="J947" s="1378"/>
      <c r="K947" s="1379"/>
    </row>
    <row r="948" spans="1:245">
      <c r="A948" s="498" t="s">
        <v>253</v>
      </c>
      <c r="B948" s="1053" t="s">
        <v>258</v>
      </c>
      <c r="C948" s="502"/>
      <c r="D948" s="131"/>
      <c r="E948" s="154"/>
      <c r="F948" s="88"/>
      <c r="G948" s="88">
        <f>+G920</f>
        <v>0</v>
      </c>
      <c r="H948" s="1391"/>
      <c r="I948" s="1391"/>
      <c r="J948" s="1378"/>
      <c r="K948" s="1379"/>
    </row>
    <row r="949" spans="1:245">
      <c r="A949" s="498" t="s">
        <v>255</v>
      </c>
      <c r="B949" s="1053" t="s">
        <v>262</v>
      </c>
      <c r="C949" s="502"/>
      <c r="D949" s="131"/>
      <c r="E949" s="154"/>
      <c r="F949" s="88"/>
      <c r="G949" s="88">
        <f>G932</f>
        <v>0</v>
      </c>
      <c r="H949" s="1391"/>
      <c r="I949" s="1391"/>
      <c r="J949" s="1378"/>
      <c r="K949" s="1379"/>
    </row>
    <row r="950" spans="1:245">
      <c r="A950" s="551" t="s">
        <v>257</v>
      </c>
      <c r="B950" s="1053" t="s">
        <v>273</v>
      </c>
      <c r="C950" s="502"/>
      <c r="D950" s="131"/>
      <c r="E950" s="154"/>
      <c r="F950" s="88"/>
      <c r="G950" s="88">
        <f>+G941</f>
        <v>0</v>
      </c>
      <c r="H950" s="1391"/>
      <c r="I950" s="1391"/>
      <c r="J950" s="1378"/>
      <c r="K950" s="1379"/>
    </row>
    <row r="951" spans="1:245">
      <c r="A951" s="95"/>
      <c r="B951" s="1049" t="s">
        <v>460</v>
      </c>
      <c r="C951" s="578"/>
      <c r="D951" s="155"/>
      <c r="E951" s="97"/>
      <c r="F951" s="98"/>
      <c r="G951" s="99">
        <f>SUM(G945:G950)</f>
        <v>0</v>
      </c>
      <c r="H951" s="1396"/>
      <c r="I951" s="1396"/>
      <c r="J951" s="1378"/>
      <c r="K951" s="1379"/>
    </row>
    <row r="952" spans="1:245">
      <c r="J952" s="1378"/>
      <c r="K952" s="1379"/>
    </row>
    <row r="953" spans="1:245">
      <c r="J953" s="1378"/>
      <c r="K953" s="1379"/>
    </row>
    <row r="954" spans="1:245">
      <c r="A954" s="779"/>
      <c r="B954" s="1045" t="s">
        <v>461</v>
      </c>
      <c r="C954" s="784"/>
      <c r="D954" s="785"/>
      <c r="E954" s="781"/>
      <c r="F954" s="782"/>
      <c r="G954" s="783"/>
      <c r="H954" s="1388"/>
      <c r="I954" s="1388"/>
      <c r="J954" s="1378"/>
      <c r="K954" s="1379"/>
    </row>
    <row r="955" spans="1:245">
      <c r="A955" s="1"/>
      <c r="B955" s="932"/>
      <c r="C955" s="103"/>
      <c r="D955" s="62"/>
      <c r="E955" s="63"/>
      <c r="F955" s="64"/>
      <c r="G955" s="65"/>
      <c r="H955" s="1390"/>
      <c r="I955" s="1390"/>
      <c r="J955" s="1378"/>
      <c r="K955" s="1379"/>
    </row>
    <row r="956" spans="1:245" s="771" customFormat="1" ht="30">
      <c r="A956" s="766" t="s">
        <v>891</v>
      </c>
      <c r="B956" s="920" t="s">
        <v>892</v>
      </c>
      <c r="C956" s="768" t="s">
        <v>894</v>
      </c>
      <c r="D956" s="768" t="s">
        <v>1</v>
      </c>
      <c r="E956" s="769" t="s">
        <v>893</v>
      </c>
      <c r="F956" s="769" t="s">
        <v>1234</v>
      </c>
      <c r="G956" s="769" t="s">
        <v>1233</v>
      </c>
      <c r="H956" s="1375"/>
      <c r="I956" s="1376"/>
      <c r="J956" s="1378"/>
      <c r="K956" s="1379"/>
      <c r="L956" s="770"/>
      <c r="M956" s="770"/>
      <c r="N956" s="770"/>
      <c r="O956" s="770"/>
      <c r="P956" s="770"/>
      <c r="Q956" s="770"/>
      <c r="R956" s="770"/>
      <c r="S956" s="770"/>
      <c r="T956" s="770"/>
      <c r="U956" s="770"/>
      <c r="V956" s="770"/>
      <c r="W956" s="770"/>
      <c r="X956" s="770"/>
      <c r="Y956" s="770"/>
      <c r="Z956" s="770"/>
      <c r="AA956" s="770"/>
      <c r="AB956" s="770"/>
      <c r="AC956" s="770"/>
      <c r="AD956" s="770"/>
      <c r="AE956" s="770"/>
      <c r="AF956" s="770"/>
      <c r="AG956" s="770"/>
      <c r="AH956" s="770"/>
      <c r="AI956" s="770"/>
      <c r="AJ956" s="770"/>
      <c r="AK956" s="770"/>
      <c r="AL956" s="770"/>
      <c r="AM956" s="770"/>
      <c r="AN956" s="770"/>
      <c r="AO956" s="770"/>
      <c r="AP956" s="770"/>
      <c r="AQ956" s="770"/>
      <c r="AR956" s="770"/>
      <c r="AS956" s="770"/>
      <c r="AT956" s="770"/>
      <c r="AU956" s="770"/>
      <c r="AV956" s="770"/>
      <c r="AW956" s="770"/>
      <c r="AX956" s="770"/>
      <c r="AY956" s="770"/>
      <c r="AZ956" s="770"/>
      <c r="BA956" s="770"/>
      <c r="BB956" s="770"/>
      <c r="BC956" s="770"/>
      <c r="BD956" s="770"/>
      <c r="BE956" s="770"/>
      <c r="BF956" s="770"/>
      <c r="BG956" s="770"/>
      <c r="BH956" s="770"/>
      <c r="BI956" s="770"/>
      <c r="BJ956" s="770"/>
      <c r="BK956" s="770"/>
      <c r="BL956" s="770"/>
      <c r="BM956" s="770"/>
      <c r="BN956" s="770"/>
      <c r="BO956" s="770"/>
      <c r="BP956" s="770"/>
      <c r="BQ956" s="770"/>
      <c r="BR956" s="770"/>
      <c r="BS956" s="770"/>
      <c r="BT956" s="770"/>
      <c r="BU956" s="770"/>
      <c r="BV956" s="770"/>
      <c r="BW956" s="770"/>
      <c r="BX956" s="770"/>
      <c r="BY956" s="770"/>
      <c r="BZ956" s="770"/>
      <c r="CA956" s="770"/>
      <c r="CB956" s="770"/>
      <c r="CC956" s="770"/>
      <c r="CD956" s="770"/>
      <c r="CE956" s="770"/>
      <c r="CF956" s="770"/>
      <c r="CG956" s="770"/>
      <c r="CH956" s="770"/>
      <c r="CI956" s="770"/>
      <c r="CJ956" s="770"/>
      <c r="CK956" s="770"/>
      <c r="CL956" s="770"/>
      <c r="CM956" s="770"/>
      <c r="CN956" s="770"/>
      <c r="CO956" s="770"/>
      <c r="CP956" s="770"/>
      <c r="CQ956" s="770"/>
      <c r="CR956" s="770"/>
      <c r="CS956" s="770"/>
      <c r="CT956" s="770"/>
      <c r="CU956" s="770"/>
      <c r="CV956" s="770"/>
      <c r="CW956" s="770"/>
      <c r="CX956" s="770"/>
      <c r="CY956" s="770"/>
      <c r="CZ956" s="770"/>
      <c r="DA956" s="770"/>
      <c r="DB956" s="770"/>
      <c r="DC956" s="770"/>
      <c r="DD956" s="770"/>
      <c r="DE956" s="770"/>
      <c r="DF956" s="770"/>
      <c r="DG956" s="770"/>
      <c r="DH956" s="770"/>
      <c r="DI956" s="770"/>
      <c r="DJ956" s="770"/>
      <c r="DK956" s="770"/>
      <c r="DL956" s="770"/>
      <c r="DM956" s="770"/>
      <c r="DN956" s="770"/>
      <c r="DO956" s="770"/>
      <c r="DP956" s="770"/>
      <c r="DQ956" s="770"/>
      <c r="DR956" s="770"/>
      <c r="DS956" s="770"/>
      <c r="DT956" s="770"/>
      <c r="DU956" s="770"/>
      <c r="DV956" s="770"/>
      <c r="DW956" s="770"/>
      <c r="DX956" s="770"/>
      <c r="DY956" s="770"/>
      <c r="DZ956" s="770"/>
      <c r="EA956" s="770"/>
      <c r="EB956" s="770"/>
      <c r="EC956" s="770"/>
      <c r="ED956" s="770"/>
      <c r="EE956" s="770"/>
      <c r="EF956" s="770"/>
      <c r="EG956" s="770"/>
      <c r="EH956" s="770"/>
      <c r="EI956" s="770"/>
      <c r="EJ956" s="770"/>
      <c r="EK956" s="770"/>
      <c r="EL956" s="770"/>
      <c r="EM956" s="770"/>
      <c r="EN956" s="770"/>
      <c r="EO956" s="770"/>
      <c r="EP956" s="770"/>
      <c r="EQ956" s="770"/>
      <c r="ER956" s="770"/>
      <c r="ES956" s="770"/>
      <c r="ET956" s="770"/>
      <c r="EU956" s="770"/>
      <c r="EV956" s="770"/>
      <c r="EW956" s="770"/>
      <c r="EX956" s="770"/>
      <c r="EY956" s="770"/>
      <c r="EZ956" s="770"/>
      <c r="FA956" s="770"/>
      <c r="FB956" s="770"/>
      <c r="FC956" s="770"/>
      <c r="FD956" s="770"/>
      <c r="FE956" s="770"/>
      <c r="FF956" s="770"/>
      <c r="FG956" s="770"/>
      <c r="FH956" s="770"/>
      <c r="FI956" s="770"/>
      <c r="FJ956" s="770"/>
      <c r="FK956" s="770"/>
      <c r="FL956" s="770"/>
      <c r="FM956" s="770"/>
      <c r="FN956" s="770"/>
      <c r="FO956" s="770"/>
      <c r="FP956" s="770"/>
      <c r="FQ956" s="770"/>
      <c r="FR956" s="770"/>
      <c r="FS956" s="770"/>
      <c r="FT956" s="770"/>
      <c r="FU956" s="770"/>
      <c r="FV956" s="770"/>
      <c r="FW956" s="770"/>
      <c r="FX956" s="770"/>
      <c r="FY956" s="770"/>
      <c r="FZ956" s="770"/>
      <c r="GA956" s="770"/>
      <c r="GB956" s="770"/>
      <c r="GC956" s="770"/>
      <c r="GD956" s="770"/>
      <c r="GE956" s="770"/>
      <c r="GF956" s="770"/>
      <c r="GG956" s="770"/>
      <c r="GH956" s="770"/>
      <c r="GI956" s="770"/>
      <c r="GJ956" s="770"/>
      <c r="GK956" s="770"/>
      <c r="GL956" s="770"/>
      <c r="GM956" s="770"/>
      <c r="GN956" s="770"/>
      <c r="GO956" s="770"/>
      <c r="GP956" s="770"/>
      <c r="GQ956" s="770"/>
      <c r="GR956" s="770"/>
      <c r="GS956" s="770"/>
      <c r="GT956" s="770"/>
      <c r="GU956" s="770"/>
      <c r="GV956" s="770"/>
      <c r="GW956" s="770"/>
      <c r="GX956" s="770"/>
      <c r="GY956" s="770"/>
      <c r="GZ956" s="770"/>
      <c r="HA956" s="770"/>
      <c r="HB956" s="770"/>
      <c r="HC956" s="770"/>
      <c r="HD956" s="770"/>
      <c r="HE956" s="770"/>
      <c r="HF956" s="770"/>
      <c r="HG956" s="770"/>
      <c r="HH956" s="770"/>
      <c r="HI956" s="770"/>
      <c r="HJ956" s="770"/>
      <c r="HK956" s="770"/>
      <c r="HL956" s="770"/>
      <c r="HM956" s="770"/>
      <c r="HN956" s="770"/>
      <c r="HO956" s="770"/>
      <c r="HP956" s="770"/>
      <c r="HQ956" s="770"/>
      <c r="HR956" s="770"/>
      <c r="HS956" s="770"/>
      <c r="HT956" s="770"/>
      <c r="HU956" s="770"/>
      <c r="HV956" s="770"/>
      <c r="HW956" s="770"/>
      <c r="HX956" s="770"/>
      <c r="HY956" s="770"/>
      <c r="HZ956" s="770"/>
      <c r="IA956" s="770"/>
      <c r="IB956" s="770"/>
      <c r="IC956" s="770"/>
      <c r="ID956" s="770"/>
      <c r="IE956" s="770"/>
      <c r="IF956" s="770"/>
      <c r="IG956" s="770"/>
      <c r="IH956" s="770"/>
      <c r="II956" s="770"/>
      <c r="IJ956" s="770"/>
      <c r="IK956" s="770"/>
    </row>
    <row r="957" spans="1:245">
      <c r="A957" s="1"/>
      <c r="B957" s="930"/>
      <c r="C957" s="68"/>
      <c r="D957" s="62"/>
      <c r="E957" s="63"/>
      <c r="F957" s="64"/>
      <c r="G957" s="65"/>
      <c r="H957" s="1390"/>
      <c r="I957" s="1390"/>
      <c r="J957" s="1378"/>
      <c r="K957" s="1379"/>
    </row>
    <row r="958" spans="1:245">
      <c r="A958" s="169"/>
      <c r="B958" s="1056" t="s">
        <v>46</v>
      </c>
      <c r="C958" s="1191" t="s">
        <v>1272</v>
      </c>
      <c r="D958" s="514"/>
      <c r="E958" s="121"/>
      <c r="F958" s="71"/>
      <c r="G958" s="72"/>
      <c r="H958" s="1413"/>
      <c r="I958" s="1413"/>
      <c r="J958" s="1378"/>
      <c r="K958" s="1379"/>
    </row>
    <row r="959" spans="1:245">
      <c r="A959" s="92"/>
      <c r="B959" s="951"/>
      <c r="C959" s="181"/>
      <c r="D959" s="515"/>
      <c r="E959" s="516"/>
      <c r="F959" s="461"/>
      <c r="G959" s="461"/>
      <c r="H959" s="1400"/>
      <c r="I959" s="1400"/>
      <c r="J959" s="1378"/>
      <c r="K959" s="1379"/>
    </row>
    <row r="960" spans="1:245" ht="34.5">
      <c r="A960" s="491" t="s">
        <v>60</v>
      </c>
      <c r="B960" s="1048" t="s">
        <v>407</v>
      </c>
      <c r="C960" s="889" t="s">
        <v>1257</v>
      </c>
      <c r="D960" s="493" t="s">
        <v>402</v>
      </c>
      <c r="E960" s="106">
        <f>+(0.6+4.4+0.6)*(0.6+3.4+0.6)</f>
        <v>25.759999999999998</v>
      </c>
      <c r="F960" s="807"/>
      <c r="G960" s="88">
        <f>F960*E960</f>
        <v>0</v>
      </c>
      <c r="H960" s="1392"/>
      <c r="I960" s="1392"/>
      <c r="J960" s="1378"/>
      <c r="K960" s="1379"/>
    </row>
    <row r="961" spans="1:11">
      <c r="A961" s="92"/>
      <c r="B961" s="951"/>
      <c r="C961" s="181"/>
      <c r="D961" s="86"/>
      <c r="E961" s="83"/>
      <c r="F961" s="86"/>
      <c r="G961" s="86"/>
      <c r="H961" s="1421"/>
      <c r="I961" s="1421"/>
      <c r="J961" s="1378"/>
      <c r="K961" s="1379"/>
    </row>
    <row r="962" spans="1:11" ht="31.5">
      <c r="A962" s="491" t="s">
        <v>63</v>
      </c>
      <c r="B962" s="1048" t="s">
        <v>408</v>
      </c>
      <c r="C962" s="889" t="s">
        <v>1257</v>
      </c>
      <c r="D962" s="493" t="s">
        <v>404</v>
      </c>
      <c r="E962" s="150">
        <f>+((4.4*3.4)+(5.98*4.98))/2*0.79</f>
        <v>17.672458000000002</v>
      </c>
      <c r="F962" s="807"/>
      <c r="G962" s="88">
        <f>F962*E962</f>
        <v>0</v>
      </c>
      <c r="H962" s="1393"/>
      <c r="I962" s="1393"/>
      <c r="J962" s="1378"/>
      <c r="K962" s="1379"/>
    </row>
    <row r="963" spans="1:11">
      <c r="A963" s="92"/>
      <c r="B963" s="951"/>
      <c r="C963" s="181"/>
      <c r="D963" s="515"/>
      <c r="E963" s="516"/>
      <c r="F963" s="461"/>
      <c r="G963" s="461"/>
      <c r="H963" s="1400"/>
      <c r="I963" s="1400"/>
      <c r="J963" s="1378"/>
      <c r="K963" s="1379"/>
    </row>
    <row r="964" spans="1:11" ht="78.75">
      <c r="A964" s="491" t="s">
        <v>65</v>
      </c>
      <c r="B964" s="1055" t="s">
        <v>409</v>
      </c>
      <c r="C964" s="889" t="s">
        <v>1257</v>
      </c>
      <c r="D964" s="493" t="s">
        <v>404</v>
      </c>
      <c r="E964" s="150">
        <f>+((4.4*3.4)+(5.1*4.1))*0.35</f>
        <v>12.554499999999999</v>
      </c>
      <c r="F964" s="807"/>
      <c r="G964" s="88">
        <f>F964*E964</f>
        <v>0</v>
      </c>
      <c r="H964" s="1393"/>
      <c r="I964" s="1393"/>
      <c r="J964" s="1378"/>
      <c r="K964" s="1379"/>
    </row>
    <row r="965" spans="1:11">
      <c r="A965" s="92"/>
      <c r="B965" s="951"/>
      <c r="C965" s="181"/>
      <c r="D965" s="86"/>
      <c r="E965" s="83"/>
      <c r="F965" s="86"/>
      <c r="G965" s="86"/>
      <c r="H965" s="1421"/>
      <c r="I965" s="1421"/>
      <c r="J965" s="1378"/>
      <c r="K965" s="1379"/>
    </row>
    <row r="966" spans="1:11" ht="113.25" customHeight="1">
      <c r="A966" s="491" t="s">
        <v>368</v>
      </c>
      <c r="B966" s="1055" t="s">
        <v>410</v>
      </c>
      <c r="C966" s="889" t="s">
        <v>1257</v>
      </c>
      <c r="D966" s="494" t="s">
        <v>405</v>
      </c>
      <c r="E966" s="106">
        <f>111.11-(12.55+8.7*0.1+16.2)</f>
        <v>81.490000000000009</v>
      </c>
      <c r="F966" s="807"/>
      <c r="G966" s="88">
        <f>F966*E966</f>
        <v>0</v>
      </c>
      <c r="H966" s="1393"/>
      <c r="I966" s="1393"/>
      <c r="J966" s="1378"/>
      <c r="K966" s="1379"/>
    </row>
    <row r="967" spans="1:11">
      <c r="A967" s="92"/>
      <c r="B967" s="951"/>
      <c r="C967" s="181"/>
      <c r="D967" s="134"/>
      <c r="E967" s="89"/>
      <c r="F967" s="88"/>
      <c r="G967" s="88"/>
      <c r="H967" s="1391"/>
      <c r="I967" s="1391"/>
      <c r="J967" s="1378"/>
      <c r="K967" s="1379"/>
    </row>
    <row r="968" spans="1:11" ht="75.75" customHeight="1">
      <c r="A968" s="497">
        <v>5</v>
      </c>
      <c r="B968" s="1048" t="s">
        <v>411</v>
      </c>
      <c r="C968" s="889" t="s">
        <v>1257</v>
      </c>
      <c r="D968" s="493" t="s">
        <v>404</v>
      </c>
      <c r="E968" s="106">
        <v>17.670000000000002</v>
      </c>
      <c r="F968" s="807"/>
      <c r="G968" s="88">
        <f>F968*E968</f>
        <v>0</v>
      </c>
      <c r="H968" s="1393"/>
      <c r="I968" s="1393"/>
      <c r="J968" s="1378"/>
      <c r="K968" s="1379"/>
    </row>
    <row r="969" spans="1:11">
      <c r="A969" s="194"/>
      <c r="B969" s="1049" t="s">
        <v>58</v>
      </c>
      <c r="C969" s="578"/>
      <c r="D969" s="195"/>
      <c r="E969" s="196"/>
      <c r="F969" s="197"/>
      <c r="G969" s="99">
        <f>SUM(G960:G968)</f>
        <v>0</v>
      </c>
      <c r="H969" s="1401"/>
      <c r="I969" s="1401"/>
      <c r="J969" s="1378"/>
      <c r="K969" s="1379"/>
    </row>
    <row r="970" spans="1:11">
      <c r="A970" s="193"/>
      <c r="B970" s="1057"/>
      <c r="C970" s="517"/>
      <c r="D970" s="190"/>
      <c r="E970" s="191"/>
      <c r="F970" s="174"/>
      <c r="G970" s="174"/>
      <c r="H970" s="1398"/>
      <c r="I970" s="1398"/>
      <c r="J970" s="1378"/>
      <c r="K970" s="1379"/>
    </row>
    <row r="971" spans="1:11">
      <c r="A971" s="193"/>
      <c r="B971" s="1057"/>
      <c r="C971" s="517"/>
      <c r="D971" s="190"/>
      <c r="E971" s="191"/>
      <c r="F971" s="174"/>
      <c r="G971" s="174"/>
      <c r="H971" s="1398"/>
      <c r="I971" s="1398"/>
      <c r="J971" s="1378"/>
      <c r="K971" s="1379"/>
    </row>
    <row r="972" spans="1:11" ht="47.25">
      <c r="A972" s="169"/>
      <c r="B972" s="1194" t="s">
        <v>59</v>
      </c>
      <c r="C972" s="1195" t="s">
        <v>1244</v>
      </c>
      <c r="D972" s="1170"/>
      <c r="E972" s="1170"/>
      <c r="F972" s="109"/>
      <c r="G972" s="110"/>
      <c r="H972" s="1391"/>
      <c r="I972" s="1391"/>
      <c r="J972" s="1378"/>
      <c r="K972" s="1379"/>
    </row>
    <row r="973" spans="1:11">
      <c r="A973" s="237"/>
      <c r="B973" s="951"/>
      <c r="C973" s="181"/>
      <c r="D973" s="131"/>
      <c r="E973" s="154"/>
      <c r="F973" s="88"/>
      <c r="G973" s="88"/>
      <c r="H973" s="1391"/>
      <c r="I973" s="1391"/>
      <c r="J973" s="1378"/>
      <c r="K973" s="1379"/>
    </row>
    <row r="974" spans="1:11" ht="63">
      <c r="A974" s="491" t="s">
        <v>47</v>
      </c>
      <c r="B974" s="1055" t="s">
        <v>462</v>
      </c>
      <c r="C974" s="889" t="s">
        <v>1257</v>
      </c>
      <c r="D974" s="493" t="s">
        <v>403</v>
      </c>
      <c r="E974" s="89">
        <f>+(3.4+0.2)*(2.4+0.2)-0.457*0.457*3.14</f>
        <v>8.7042141400000013</v>
      </c>
      <c r="F974" s="807"/>
      <c r="G974" s="88">
        <f>F974*E974</f>
        <v>0</v>
      </c>
      <c r="H974" s="1393"/>
      <c r="I974" s="1393"/>
      <c r="J974" s="1378"/>
      <c r="K974" s="1379"/>
    </row>
    <row r="975" spans="1:11">
      <c r="A975" s="92"/>
      <c r="B975" s="951"/>
      <c r="C975" s="181"/>
      <c r="D975" s="515"/>
      <c r="E975" s="516"/>
      <c r="F975" s="461"/>
      <c r="G975" s="461"/>
      <c r="H975" s="1400"/>
      <c r="I975" s="1400"/>
      <c r="J975" s="1378"/>
      <c r="K975" s="1379"/>
    </row>
    <row r="976" spans="1:11" ht="94.5">
      <c r="A976" s="491" t="s">
        <v>63</v>
      </c>
      <c r="B976" s="1055" t="s">
        <v>463</v>
      </c>
      <c r="C976" s="889" t="s">
        <v>1257</v>
      </c>
      <c r="D976" s="493" t="s">
        <v>404</v>
      </c>
      <c r="E976" s="89">
        <f>3.4*2.4*0.2-0.457*0.457*3.14*0.2</f>
        <v>1.5008428280000001</v>
      </c>
      <c r="F976" s="807"/>
      <c r="G976" s="88">
        <f>F976*E976</f>
        <v>0</v>
      </c>
      <c r="H976" s="1393"/>
      <c r="I976" s="1393"/>
      <c r="J976" s="1378"/>
      <c r="K976" s="1379"/>
    </row>
    <row r="977" spans="1:11">
      <c r="A977" s="75"/>
      <c r="B977" s="951"/>
      <c r="C977" s="181"/>
      <c r="D977" s="515"/>
      <c r="E977" s="516"/>
      <c r="F977" s="461"/>
      <c r="G977" s="461"/>
      <c r="H977" s="1400"/>
      <c r="I977" s="1400"/>
      <c r="J977" s="1378"/>
      <c r="K977" s="1379"/>
    </row>
    <row r="978" spans="1:11" ht="110.25">
      <c r="A978" s="491" t="s">
        <v>65</v>
      </c>
      <c r="B978" s="1055" t="s">
        <v>464</v>
      </c>
      <c r="C978" s="889" t="s">
        <v>1257</v>
      </c>
      <c r="D978" s="493" t="s">
        <v>404</v>
      </c>
      <c r="E978" s="518">
        <f>+(3.4+2)*2*(1.98-0.2)*0.2</f>
        <v>3.8448000000000002</v>
      </c>
      <c r="F978" s="807"/>
      <c r="G978" s="88">
        <f>F978*E978</f>
        <v>0</v>
      </c>
      <c r="H978" s="1393"/>
      <c r="I978" s="1393"/>
      <c r="J978" s="1378"/>
      <c r="K978" s="1379"/>
    </row>
    <row r="979" spans="1:11">
      <c r="A979" s="92"/>
      <c r="B979" s="951"/>
      <c r="C979" s="181"/>
      <c r="D979" s="463"/>
      <c r="E979" s="518"/>
      <c r="F979" s="463"/>
      <c r="G979" s="463"/>
      <c r="H979" s="1395"/>
      <c r="I979" s="1395"/>
      <c r="J979" s="1378"/>
      <c r="K979" s="1379"/>
    </row>
    <row r="980" spans="1:11" ht="94.5">
      <c r="A980" s="491" t="s">
        <v>368</v>
      </c>
      <c r="B980" s="1055" t="s">
        <v>465</v>
      </c>
      <c r="C980" s="889" t="s">
        <v>1257</v>
      </c>
      <c r="D980" s="493" t="s">
        <v>404</v>
      </c>
      <c r="E980" s="518">
        <v>0.94</v>
      </c>
      <c r="F980" s="807"/>
      <c r="G980" s="88">
        <f>F980*E980</f>
        <v>0</v>
      </c>
      <c r="H980" s="1393"/>
      <c r="I980" s="1393"/>
      <c r="J980" s="1378"/>
      <c r="K980" s="1379"/>
    </row>
    <row r="981" spans="1:11">
      <c r="A981" s="92"/>
      <c r="B981" s="1002"/>
      <c r="C981" s="192"/>
      <c r="D981" s="134"/>
      <c r="E981" s="518"/>
      <c r="F981" s="88"/>
      <c r="G981" s="88"/>
      <c r="H981" s="1391"/>
      <c r="I981" s="1391"/>
      <c r="J981" s="1378"/>
      <c r="K981" s="1379"/>
    </row>
    <row r="982" spans="1:11" ht="94.5">
      <c r="A982" s="491" t="s">
        <v>70</v>
      </c>
      <c r="B982" s="1055" t="s">
        <v>417</v>
      </c>
      <c r="C982" s="889" t="s">
        <v>1257</v>
      </c>
      <c r="D982" s="493" t="s">
        <v>418</v>
      </c>
      <c r="E982" s="518">
        <f>3.4*2.4</f>
        <v>8.16</v>
      </c>
      <c r="F982" s="807"/>
      <c r="G982" s="88">
        <f>F982*E982</f>
        <v>0</v>
      </c>
      <c r="H982" s="1391"/>
      <c r="I982" s="1391"/>
      <c r="J982" s="1378"/>
      <c r="K982" s="1379"/>
    </row>
    <row r="983" spans="1:11" ht="15.75" customHeight="1">
      <c r="A983" s="519"/>
      <c r="B983" s="1502" t="s">
        <v>80</v>
      </c>
      <c r="C983" s="1502"/>
      <c r="D983" s="1502"/>
      <c r="E983" s="1502"/>
      <c r="F983" s="197"/>
      <c r="G983" s="99">
        <f>SUM(G974:G982)</f>
        <v>0</v>
      </c>
      <c r="H983" s="1401"/>
      <c r="I983" s="1401"/>
      <c r="J983" s="1378"/>
      <c r="K983" s="1379"/>
    </row>
    <row r="984" spans="1:11">
      <c r="A984" s="193"/>
      <c r="B984" s="1057"/>
      <c r="C984" s="517"/>
      <c r="D984" s="190"/>
      <c r="E984" s="191"/>
      <c r="F984" s="174"/>
      <c r="G984" s="174"/>
      <c r="H984" s="1398"/>
      <c r="I984" s="1398"/>
      <c r="J984" s="1378"/>
      <c r="K984" s="1379"/>
    </row>
    <row r="985" spans="1:11">
      <c r="A985" s="101"/>
      <c r="B985" s="1050" t="s">
        <v>81</v>
      </c>
      <c r="C985" s="1188" t="s">
        <v>1244</v>
      </c>
      <c r="D985" s="189"/>
      <c r="E985" s="222"/>
      <c r="F985" s="109"/>
      <c r="G985" s="205"/>
      <c r="H985" s="1391"/>
      <c r="I985" s="1391"/>
      <c r="J985" s="1378"/>
      <c r="K985" s="1379"/>
    </row>
    <row r="986" spans="1:11">
      <c r="A986" s="568"/>
      <c r="B986" s="1078"/>
      <c r="C986" s="579"/>
      <c r="D986" s="134"/>
      <c r="E986" s="107"/>
      <c r="F986" s="88"/>
      <c r="G986" s="88"/>
      <c r="H986" s="1391"/>
      <c r="I986" s="1391"/>
      <c r="J986" s="1378"/>
      <c r="K986" s="1379"/>
    </row>
    <row r="987" spans="1:11" ht="63">
      <c r="A987" s="491" t="s">
        <v>60</v>
      </c>
      <c r="B987" s="1055" t="s">
        <v>284</v>
      </c>
      <c r="C987" s="889" t="s">
        <v>1257</v>
      </c>
      <c r="D987" s="440"/>
      <c r="E987" s="62"/>
      <c r="F987" s="82"/>
      <c r="G987" s="64"/>
      <c r="H987" s="1391"/>
      <c r="I987" s="1391"/>
      <c r="J987" s="1378"/>
      <c r="K987" s="1379"/>
    </row>
    <row r="988" spans="1:11">
      <c r="A988" s="92"/>
      <c r="B988" s="1055" t="s">
        <v>336</v>
      </c>
      <c r="C988" s="511"/>
      <c r="D988" s="440"/>
      <c r="E988" s="62"/>
      <c r="F988" s="82"/>
      <c r="G988" s="64"/>
      <c r="H988" s="1391"/>
      <c r="I988" s="1391"/>
      <c r="J988" s="1378"/>
      <c r="K988" s="1379"/>
    </row>
    <row r="989" spans="1:11">
      <c r="A989" s="92"/>
      <c r="B989" s="1055" t="s">
        <v>337</v>
      </c>
      <c r="C989" s="511"/>
      <c r="D989" s="493" t="s">
        <v>83</v>
      </c>
      <c r="E989" s="107">
        <f>+(1.5+3.84+0.94)*130</f>
        <v>816.39999999999986</v>
      </c>
      <c r="F989" s="807"/>
      <c r="G989" s="88">
        <f>F989*E989</f>
        <v>0</v>
      </c>
      <c r="H989" s="1393"/>
      <c r="I989" s="1393"/>
      <c r="J989" s="1378"/>
      <c r="K989" s="1379"/>
    </row>
    <row r="990" spans="1:11" ht="15.75" customHeight="1">
      <c r="A990" s="95"/>
      <c r="B990" s="1502" t="s">
        <v>84</v>
      </c>
      <c r="C990" s="1502"/>
      <c r="D990" s="1502"/>
      <c r="E990" s="1502"/>
      <c r="F990" s="98"/>
      <c r="G990" s="99">
        <f>SUM(G989:G989)</f>
        <v>0</v>
      </c>
      <c r="H990" s="1396"/>
      <c r="I990" s="1396"/>
      <c r="J990" s="1378"/>
      <c r="K990" s="1379"/>
    </row>
    <row r="991" spans="1:11">
      <c r="A991" s="193"/>
      <c r="B991" s="1057"/>
      <c r="C991" s="1188"/>
      <c r="D991" s="190"/>
      <c r="E991" s="191"/>
      <c r="F991" s="174"/>
      <c r="G991" s="174"/>
      <c r="H991" s="1398"/>
      <c r="I991" s="1398"/>
      <c r="J991" s="1378"/>
      <c r="K991" s="1379"/>
    </row>
    <row r="992" spans="1:11">
      <c r="A992" s="69"/>
      <c r="B992" s="1056" t="s">
        <v>419</v>
      </c>
      <c r="C992" s="1188" t="s">
        <v>1244</v>
      </c>
      <c r="D992" s="527"/>
      <c r="E992" s="514"/>
      <c r="F992" s="109"/>
      <c r="G992" s="122"/>
      <c r="H992" s="1391"/>
      <c r="I992" s="1391"/>
      <c r="J992" s="1378"/>
      <c r="K992" s="1379"/>
    </row>
    <row r="993" spans="1:11">
      <c r="A993" s="193"/>
      <c r="B993" s="1057"/>
      <c r="C993" s="517"/>
      <c r="D993" s="190"/>
      <c r="E993" s="191"/>
      <c r="F993" s="174"/>
      <c r="G993" s="174"/>
      <c r="H993" s="1398"/>
      <c r="I993" s="1398"/>
      <c r="J993" s="1378"/>
      <c r="K993" s="1379"/>
    </row>
    <row r="994" spans="1:11" ht="63">
      <c r="A994" s="491" t="s">
        <v>60</v>
      </c>
      <c r="B994" s="1059" t="s">
        <v>466</v>
      </c>
      <c r="C994" s="889" t="s">
        <v>1257</v>
      </c>
      <c r="D994" s="493" t="s">
        <v>418</v>
      </c>
      <c r="E994" s="142">
        <v>7.5</v>
      </c>
      <c r="F994" s="807"/>
      <c r="G994" s="82">
        <f>F994*E994</f>
        <v>0</v>
      </c>
      <c r="H994" s="1393"/>
      <c r="I994" s="1393"/>
      <c r="J994" s="1378"/>
      <c r="K994" s="1379"/>
    </row>
    <row r="995" spans="1:11">
      <c r="A995" s="193"/>
      <c r="B995" s="1057"/>
      <c r="C995" s="517"/>
      <c r="D995" s="190"/>
      <c r="E995" s="191"/>
      <c r="F995" s="174"/>
      <c r="G995" s="174"/>
      <c r="H995" s="1398"/>
      <c r="I995" s="1398"/>
      <c r="J995" s="1378"/>
      <c r="K995" s="1379"/>
    </row>
    <row r="996" spans="1:11" ht="63">
      <c r="A996" s="491" t="s">
        <v>63</v>
      </c>
      <c r="B996" s="1059" t="s">
        <v>467</v>
      </c>
      <c r="C996" s="889" t="s">
        <v>1257</v>
      </c>
      <c r="D996" s="493" t="s">
        <v>418</v>
      </c>
      <c r="E996" s="89">
        <f>+(3.4*2.4)-(0.3*0.3*3.14+1.2*1.2)</f>
        <v>6.4374000000000002</v>
      </c>
      <c r="F996" s="807"/>
      <c r="G996" s="82">
        <f>F996*E996</f>
        <v>0</v>
      </c>
      <c r="H996" s="1393"/>
      <c r="I996" s="1393"/>
      <c r="J996" s="1378"/>
      <c r="K996" s="1379"/>
    </row>
    <row r="997" spans="1:11">
      <c r="A997" s="193"/>
      <c r="B997" s="1057"/>
      <c r="C997" s="517"/>
      <c r="D997" s="190"/>
      <c r="E997" s="191"/>
      <c r="F997" s="174"/>
      <c r="G997" s="174"/>
      <c r="H997" s="1398"/>
      <c r="I997" s="1398"/>
      <c r="J997" s="1378"/>
      <c r="K997" s="1379"/>
    </row>
    <row r="998" spans="1:11" ht="63">
      <c r="A998" s="491" t="s">
        <v>65</v>
      </c>
      <c r="B998" s="1059" t="s">
        <v>468</v>
      </c>
      <c r="C998" s="889" t="s">
        <v>1257</v>
      </c>
      <c r="D998" s="493" t="s">
        <v>418</v>
      </c>
      <c r="E998" s="106">
        <f>2*1.95*(3.4+2.4)+0.4*2*(1.2+1.2)+0.4*2*(1.3+1.3)</f>
        <v>26.619999999999997</v>
      </c>
      <c r="F998" s="807"/>
      <c r="G998" s="82">
        <f>F998*E998</f>
        <v>0</v>
      </c>
      <c r="H998" s="1393"/>
      <c r="I998" s="1393"/>
      <c r="J998" s="1378"/>
      <c r="K998" s="1379"/>
    </row>
    <row r="999" spans="1:11">
      <c r="A999" s="193"/>
      <c r="B999" s="1057"/>
      <c r="C999" s="517"/>
      <c r="D999" s="190"/>
      <c r="E999" s="191"/>
      <c r="F999" s="174"/>
      <c r="G999" s="174"/>
      <c r="H999" s="1398"/>
      <c r="I999" s="1398"/>
      <c r="J999" s="1378"/>
      <c r="K999" s="1379"/>
    </row>
    <row r="1000" spans="1:11" ht="63">
      <c r="A1000" s="497">
        <v>4</v>
      </c>
      <c r="B1000" s="1055" t="s">
        <v>469</v>
      </c>
      <c r="C1000" s="889" t="s">
        <v>1257</v>
      </c>
      <c r="D1000" s="493" t="s">
        <v>418</v>
      </c>
      <c r="E1000" s="106">
        <f>2*1.95*(3.4+2.4)+0.4*2*(1.2+1.2)+0.4*2*(1.3+1.3)</f>
        <v>26.619999999999997</v>
      </c>
      <c r="F1000" s="807"/>
      <c r="G1000" s="82">
        <f>F1000*E1000</f>
        <v>0</v>
      </c>
      <c r="H1000" s="1393"/>
      <c r="I1000" s="1393"/>
      <c r="J1000" s="1378"/>
      <c r="K1000" s="1379"/>
    </row>
    <row r="1001" spans="1:11">
      <c r="A1001" s="193"/>
      <c r="B1001" s="1031"/>
      <c r="C1001" s="517"/>
      <c r="D1001" s="190"/>
      <c r="E1001" s="191"/>
      <c r="F1001" s="174"/>
      <c r="G1001" s="174"/>
      <c r="H1001" s="1398"/>
      <c r="I1001" s="1398"/>
      <c r="J1001" s="1378"/>
      <c r="K1001" s="1379"/>
    </row>
    <row r="1002" spans="1:11" ht="78.75">
      <c r="A1002" s="497">
        <v>5</v>
      </c>
      <c r="B1002" s="1059" t="s">
        <v>470</v>
      </c>
      <c r="C1002" s="889" t="s">
        <v>1257</v>
      </c>
      <c r="D1002" s="493" t="s">
        <v>176</v>
      </c>
      <c r="E1002" s="89">
        <f>+(2.4+3.4)*2+4*1.98+2*0.457*3.14</f>
        <v>22.389959999999999</v>
      </c>
      <c r="F1002" s="807"/>
      <c r="G1002" s="88">
        <f>+F1002*E1002</f>
        <v>0</v>
      </c>
      <c r="H1002" s="1393"/>
      <c r="I1002" s="1393"/>
      <c r="J1002" s="1378"/>
      <c r="K1002" s="1379"/>
    </row>
    <row r="1003" spans="1:11">
      <c r="A1003" s="194"/>
      <c r="B1003" s="1060" t="s">
        <v>110</v>
      </c>
      <c r="C1003" s="544"/>
      <c r="D1003" s="545"/>
      <c r="E1003" s="196"/>
      <c r="F1003" s="197"/>
      <c r="G1003" s="99">
        <f>SUM(G994:G1002)</f>
        <v>0</v>
      </c>
      <c r="H1003" s="1401"/>
      <c r="I1003" s="1401"/>
      <c r="J1003" s="1378"/>
      <c r="K1003" s="1379"/>
    </row>
    <row r="1004" spans="1:11">
      <c r="A1004" s="193"/>
      <c r="B1004" s="1057"/>
      <c r="C1004" s="517"/>
      <c r="D1004" s="190"/>
      <c r="E1004" s="191"/>
      <c r="F1004" s="174"/>
      <c r="G1004" s="174"/>
      <c r="H1004" s="1398"/>
      <c r="I1004" s="1398"/>
      <c r="J1004" s="1378"/>
      <c r="K1004" s="1379"/>
    </row>
    <row r="1005" spans="1:11">
      <c r="A1005" s="188"/>
      <c r="B1005" s="1047" t="s">
        <v>425</v>
      </c>
      <c r="C1005" s="1188" t="s">
        <v>1244</v>
      </c>
      <c r="D1005" s="514"/>
      <c r="E1005" s="121"/>
      <c r="F1005" s="171"/>
      <c r="G1005" s="110"/>
      <c r="H1005" s="1398"/>
      <c r="I1005" s="1398"/>
      <c r="J1005" s="1378"/>
      <c r="K1005" s="1379"/>
    </row>
    <row r="1006" spans="1:11">
      <c r="A1006" s="180"/>
      <c r="B1006" s="1057"/>
      <c r="C1006" s="517"/>
      <c r="D1006" s="190"/>
      <c r="E1006" s="107"/>
      <c r="F1006" s="88"/>
      <c r="G1006" s="88"/>
      <c r="H1006" s="1391"/>
      <c r="I1006" s="1391"/>
      <c r="J1006" s="1378"/>
      <c r="K1006" s="1379"/>
    </row>
    <row r="1007" spans="1:11" ht="63">
      <c r="A1007" s="503">
        <v>1</v>
      </c>
      <c r="B1007" s="1079" t="s">
        <v>471</v>
      </c>
      <c r="C1007" s="889" t="s">
        <v>1257</v>
      </c>
      <c r="D1007" s="91"/>
      <c r="E1007" s="63"/>
      <c r="F1007" s="238"/>
      <c r="G1007" s="238"/>
      <c r="H1007" s="1439"/>
      <c r="I1007" s="1439"/>
      <c r="J1007" s="1378"/>
      <c r="K1007" s="1379"/>
    </row>
    <row r="1008" spans="1:11">
      <c r="A1008" s="75"/>
      <c r="B1008" s="1062" t="s">
        <v>427</v>
      </c>
      <c r="C1008" s="572"/>
      <c r="D1008" s="531" t="s">
        <v>11</v>
      </c>
      <c r="E1008" s="107">
        <v>2</v>
      </c>
      <c r="F1008" s="807"/>
      <c r="G1008" s="533">
        <f>E1008*F1008</f>
        <v>0</v>
      </c>
      <c r="H1008" s="1392"/>
      <c r="I1008" s="1392"/>
      <c r="J1008" s="1378"/>
      <c r="K1008" s="1379"/>
    </row>
    <row r="1009" spans="1:11">
      <c r="A1009" s="75"/>
      <c r="B1009" s="1080"/>
      <c r="C1009" s="580"/>
      <c r="D1009" s="91"/>
      <c r="E1009" s="63"/>
      <c r="F1009" s="238"/>
      <c r="G1009" s="238"/>
      <c r="H1009" s="1439"/>
      <c r="I1009" s="1439"/>
      <c r="J1009" s="1378"/>
      <c r="K1009" s="1379"/>
    </row>
    <row r="1010" spans="1:11" ht="47.25">
      <c r="A1010" s="497">
        <v>2</v>
      </c>
      <c r="B1010" s="1065" t="s">
        <v>472</v>
      </c>
      <c r="C1010" s="889" t="s">
        <v>1257</v>
      </c>
      <c r="D1010" s="581"/>
      <c r="E1010" s="582"/>
      <c r="F1010" s="583"/>
      <c r="G1010" s="583"/>
      <c r="H1010" s="1449"/>
      <c r="I1010" s="1449"/>
      <c r="J1010" s="1378"/>
      <c r="K1010" s="1379"/>
    </row>
    <row r="1011" spans="1:11">
      <c r="A1011" s="193"/>
      <c r="B1011" s="1065" t="s">
        <v>429</v>
      </c>
      <c r="C1011" s="570"/>
      <c r="D1011" s="531" t="s">
        <v>11</v>
      </c>
      <c r="E1011" s="107">
        <v>6</v>
      </c>
      <c r="F1011" s="807"/>
      <c r="G1011" s="533">
        <f>E1011*F1011</f>
        <v>0</v>
      </c>
      <c r="H1011" s="1392"/>
      <c r="I1011" s="1392"/>
      <c r="J1011" s="1378"/>
      <c r="K1011" s="1379"/>
    </row>
    <row r="1012" spans="1:11">
      <c r="A1012" s="194"/>
      <c r="B1012" s="1502" t="s">
        <v>303</v>
      </c>
      <c r="C1012" s="1502"/>
      <c r="D1012" s="1502"/>
      <c r="E1012" s="1502"/>
      <c r="F1012" s="197"/>
      <c r="G1012" s="99">
        <f>SUM(G1008:G1011)</f>
        <v>0</v>
      </c>
      <c r="H1012" s="1401"/>
      <c r="I1012" s="1401"/>
      <c r="J1012" s="1378"/>
      <c r="K1012" s="1379"/>
    </row>
    <row r="1013" spans="1:11">
      <c r="A1013" s="193"/>
      <c r="B1013" s="1057"/>
      <c r="C1013" s="517"/>
      <c r="D1013" s="190"/>
      <c r="E1013" s="191"/>
      <c r="F1013" s="174"/>
      <c r="G1013" s="174"/>
      <c r="H1013" s="1398"/>
      <c r="I1013" s="1398"/>
      <c r="J1013" s="1378"/>
      <c r="K1013" s="1379"/>
    </row>
    <row r="1014" spans="1:11">
      <c r="A1014" s="188"/>
      <c r="B1014" s="1047" t="s">
        <v>390</v>
      </c>
      <c r="C1014" s="490"/>
      <c r="D1014" s="514"/>
      <c r="E1014" s="121"/>
      <c r="F1014" s="171"/>
      <c r="G1014" s="110"/>
      <c r="H1014" s="1398"/>
      <c r="I1014" s="1398"/>
      <c r="J1014" s="1378"/>
      <c r="K1014" s="1379"/>
    </row>
    <row r="1015" spans="1:11">
      <c r="A1015" s="180"/>
      <c r="B1015" s="951"/>
      <c r="C1015" s="181"/>
      <c r="D1015" s="131"/>
      <c r="E1015" s="107"/>
      <c r="F1015" s="88"/>
      <c r="G1015" s="88"/>
      <c r="H1015" s="1391"/>
      <c r="I1015" s="1391"/>
      <c r="J1015" s="1378"/>
      <c r="K1015" s="1379"/>
    </row>
    <row r="1016" spans="1:11" ht="63">
      <c r="A1016" s="503">
        <v>1</v>
      </c>
      <c r="B1016" s="1059" t="s">
        <v>430</v>
      </c>
      <c r="C1016" s="889" t="s">
        <v>1257</v>
      </c>
      <c r="D1016" s="493" t="s">
        <v>898</v>
      </c>
      <c r="E1016" s="261">
        <v>1</v>
      </c>
      <c r="F1016" s="807"/>
      <c r="G1016" s="88">
        <f>+F1016*E1016</f>
        <v>0</v>
      </c>
      <c r="H1016" s="1393"/>
      <c r="I1016" s="1393"/>
      <c r="J1016" s="1378"/>
      <c r="K1016" s="1379"/>
    </row>
    <row r="1017" spans="1:11">
      <c r="A1017" s="75"/>
      <c r="B1017" s="1002"/>
      <c r="C1017" s="192"/>
      <c r="D1017" s="83"/>
      <c r="E1017" s="67"/>
      <c r="F1017" s="82"/>
      <c r="G1017" s="82"/>
      <c r="H1017" s="1391"/>
      <c r="I1017" s="1391"/>
      <c r="J1017" s="1378"/>
      <c r="K1017" s="1379"/>
    </row>
    <row r="1018" spans="1:11" ht="47.25">
      <c r="A1018" s="503">
        <v>2</v>
      </c>
      <c r="B1018" s="1059" t="s">
        <v>431</v>
      </c>
      <c r="C1018" s="889" t="s">
        <v>1257</v>
      </c>
      <c r="D1018" s="493" t="s">
        <v>11</v>
      </c>
      <c r="E1018" s="261">
        <v>4</v>
      </c>
      <c r="F1018" s="807"/>
      <c r="G1018" s="88">
        <f>+F1018*E1018</f>
        <v>0</v>
      </c>
      <c r="H1018" s="1393"/>
      <c r="I1018" s="1393"/>
      <c r="J1018" s="1378"/>
      <c r="K1018" s="1379"/>
    </row>
    <row r="1019" spans="1:11">
      <c r="A1019" s="194"/>
      <c r="B1019" s="1060" t="s">
        <v>245</v>
      </c>
      <c r="C1019" s="544"/>
      <c r="D1019" s="545"/>
      <c r="E1019" s="196"/>
      <c r="F1019" s="197"/>
      <c r="G1019" s="99">
        <f>SUM(G1016:G1018)</f>
        <v>0</v>
      </c>
      <c r="H1019" s="1401"/>
      <c r="I1019" s="1401"/>
      <c r="J1019" s="1378"/>
      <c r="K1019" s="1379"/>
    </row>
    <row r="1020" spans="1:11">
      <c r="A1020" s="237"/>
      <c r="B1020" s="1041"/>
      <c r="C1020" s="476"/>
      <c r="D1020" s="131"/>
      <c r="E1020" s="154"/>
      <c r="F1020" s="88"/>
      <c r="G1020" s="174"/>
      <c r="H1020" s="1391"/>
      <c r="I1020" s="1391"/>
      <c r="J1020" s="1378"/>
      <c r="K1020" s="1379"/>
    </row>
    <row r="1021" spans="1:11" ht="15.75" customHeight="1">
      <c r="A1021" s="262"/>
      <c r="B1021" s="1503" t="s">
        <v>473</v>
      </c>
      <c r="C1021" s="1503"/>
      <c r="D1021" s="1503"/>
      <c r="E1021" s="1503"/>
      <c r="F1021" s="499"/>
      <c r="G1021" s="500"/>
      <c r="H1021" s="1443"/>
      <c r="I1021" s="1443"/>
      <c r="J1021" s="1378"/>
      <c r="K1021" s="1379"/>
    </row>
    <row r="1022" spans="1:11">
      <c r="A1022" s="497" t="s">
        <v>247</v>
      </c>
      <c r="B1022" s="1052" t="s">
        <v>248</v>
      </c>
      <c r="C1022" s="501"/>
      <c r="D1022" s="134"/>
      <c r="E1022" s="107"/>
      <c r="F1022" s="88"/>
      <c r="G1022" s="88">
        <f>G969</f>
        <v>0</v>
      </c>
      <c r="H1022" s="1391"/>
      <c r="I1022" s="1391"/>
      <c r="J1022" s="1378"/>
      <c r="K1022" s="1379"/>
    </row>
    <row r="1023" spans="1:11">
      <c r="A1023" s="498" t="s">
        <v>249</v>
      </c>
      <c r="B1023" s="1053" t="s">
        <v>286</v>
      </c>
      <c r="C1023" s="502"/>
      <c r="D1023" s="131"/>
      <c r="E1023" s="154"/>
      <c r="F1023" s="88"/>
      <c r="G1023" s="88">
        <f>G983</f>
        <v>0</v>
      </c>
      <c r="H1023" s="1391"/>
      <c r="I1023" s="1391"/>
      <c r="J1023" s="1378"/>
      <c r="K1023" s="1379"/>
    </row>
    <row r="1024" spans="1:11">
      <c r="A1024" s="498" t="s">
        <v>251</v>
      </c>
      <c r="B1024" s="1053" t="s">
        <v>252</v>
      </c>
      <c r="C1024" s="502"/>
      <c r="D1024" s="131"/>
      <c r="E1024" s="154"/>
      <c r="F1024" s="88"/>
      <c r="G1024" s="88">
        <f>+G990</f>
        <v>0</v>
      </c>
      <c r="H1024" s="1391"/>
      <c r="I1024" s="1391"/>
      <c r="J1024" s="1378"/>
      <c r="K1024" s="1379"/>
    </row>
    <row r="1025" spans="1:245">
      <c r="A1025" s="498" t="s">
        <v>253</v>
      </c>
      <c r="B1025" s="1053" t="s">
        <v>258</v>
      </c>
      <c r="C1025" s="502"/>
      <c r="D1025" s="131"/>
      <c r="E1025" s="154"/>
      <c r="F1025" s="88"/>
      <c r="G1025" s="88">
        <f>+G1003</f>
        <v>0</v>
      </c>
      <c r="H1025" s="1391"/>
      <c r="I1025" s="1391"/>
      <c r="J1025" s="1378"/>
      <c r="K1025" s="1379"/>
    </row>
    <row r="1026" spans="1:245">
      <c r="A1026" s="498" t="s">
        <v>255</v>
      </c>
      <c r="B1026" s="1053" t="s">
        <v>262</v>
      </c>
      <c r="C1026" s="502"/>
      <c r="D1026" s="131"/>
      <c r="E1026" s="154"/>
      <c r="F1026" s="88"/>
      <c r="G1026" s="88">
        <f>G1012</f>
        <v>0</v>
      </c>
      <c r="H1026" s="1391"/>
      <c r="I1026" s="1391"/>
      <c r="J1026" s="1378"/>
      <c r="K1026" s="1379"/>
    </row>
    <row r="1027" spans="1:245">
      <c r="A1027" s="498" t="s">
        <v>257</v>
      </c>
      <c r="B1027" s="1053" t="s">
        <v>273</v>
      </c>
      <c r="C1027" s="502"/>
      <c r="D1027" s="131"/>
      <c r="E1027" s="154"/>
      <c r="F1027" s="88"/>
      <c r="G1027" s="88">
        <f>+G1019</f>
        <v>0</v>
      </c>
      <c r="H1027" s="1391"/>
      <c r="I1027" s="1391"/>
      <c r="J1027" s="1378"/>
      <c r="K1027" s="1379"/>
    </row>
    <row r="1028" spans="1:245">
      <c r="A1028" s="95"/>
      <c r="B1028" s="1049" t="s">
        <v>474</v>
      </c>
      <c r="C1028" s="578"/>
      <c r="D1028" s="155"/>
      <c r="E1028" s="97"/>
      <c r="F1028" s="98"/>
      <c r="G1028" s="99">
        <f>SUM(G1022:G1027)</f>
        <v>0</v>
      </c>
      <c r="H1028" s="1396"/>
      <c r="I1028" s="1396"/>
      <c r="J1028" s="1378"/>
      <c r="K1028" s="1379"/>
    </row>
    <row r="1029" spans="1:245">
      <c r="J1029" s="1378"/>
      <c r="K1029" s="1379"/>
    </row>
    <row r="1030" spans="1:245">
      <c r="J1030" s="1378"/>
      <c r="K1030" s="1379"/>
    </row>
    <row r="1031" spans="1:245">
      <c r="A1031" s="779"/>
      <c r="B1031" s="1081" t="s">
        <v>475</v>
      </c>
      <c r="C1031" s="780"/>
      <c r="D1031" s="781"/>
      <c r="E1031" s="782"/>
      <c r="F1031" s="782"/>
      <c r="G1031" s="783"/>
      <c r="H1031" s="1388"/>
      <c r="I1031" s="1388"/>
      <c r="J1031" s="1378"/>
      <c r="K1031" s="1379"/>
    </row>
    <row r="1032" spans="1:245">
      <c r="A1032" s="1"/>
      <c r="B1032" s="1082"/>
      <c r="C1032" s="584"/>
      <c r="D1032" s="63"/>
      <c r="E1032" s="82"/>
      <c r="F1032" s="64"/>
      <c r="G1032" s="65"/>
      <c r="H1032" s="1390"/>
      <c r="I1032" s="1390"/>
      <c r="J1032" s="1378"/>
      <c r="K1032" s="1379"/>
    </row>
    <row r="1033" spans="1:245" s="771" customFormat="1" ht="30">
      <c r="A1033" s="766" t="s">
        <v>891</v>
      </c>
      <c r="B1033" s="920" t="s">
        <v>892</v>
      </c>
      <c r="C1033" s="768" t="s">
        <v>894</v>
      </c>
      <c r="D1033" s="768" t="s">
        <v>1</v>
      </c>
      <c r="E1033" s="769" t="s">
        <v>893</v>
      </c>
      <c r="F1033" s="769" t="s">
        <v>1234</v>
      </c>
      <c r="G1033" s="769" t="s">
        <v>1233</v>
      </c>
      <c r="H1033" s="1375"/>
      <c r="I1033" s="1376"/>
      <c r="J1033" s="1378"/>
      <c r="K1033" s="1379"/>
      <c r="L1033" s="770"/>
      <c r="M1033" s="770"/>
      <c r="N1033" s="770"/>
      <c r="O1033" s="770"/>
      <c r="P1033" s="770"/>
      <c r="Q1033" s="770"/>
      <c r="R1033" s="770"/>
      <c r="S1033" s="770"/>
      <c r="T1033" s="770"/>
      <c r="U1033" s="770"/>
      <c r="V1033" s="770"/>
      <c r="W1033" s="770"/>
      <c r="X1033" s="770"/>
      <c r="Y1033" s="770"/>
      <c r="Z1033" s="770"/>
      <c r="AA1033" s="770"/>
      <c r="AB1033" s="770"/>
      <c r="AC1033" s="770"/>
      <c r="AD1033" s="770"/>
      <c r="AE1033" s="770"/>
      <c r="AF1033" s="770"/>
      <c r="AG1033" s="770"/>
      <c r="AH1033" s="770"/>
      <c r="AI1033" s="770"/>
      <c r="AJ1033" s="770"/>
      <c r="AK1033" s="770"/>
      <c r="AL1033" s="770"/>
      <c r="AM1033" s="770"/>
      <c r="AN1033" s="770"/>
      <c r="AO1033" s="770"/>
      <c r="AP1033" s="770"/>
      <c r="AQ1033" s="770"/>
      <c r="AR1033" s="770"/>
      <c r="AS1033" s="770"/>
      <c r="AT1033" s="770"/>
      <c r="AU1033" s="770"/>
      <c r="AV1033" s="770"/>
      <c r="AW1033" s="770"/>
      <c r="AX1033" s="770"/>
      <c r="AY1033" s="770"/>
      <c r="AZ1033" s="770"/>
      <c r="BA1033" s="770"/>
      <c r="BB1033" s="770"/>
      <c r="BC1033" s="770"/>
      <c r="BD1033" s="770"/>
      <c r="BE1033" s="770"/>
      <c r="BF1033" s="770"/>
      <c r="BG1033" s="770"/>
      <c r="BH1033" s="770"/>
      <c r="BI1033" s="770"/>
      <c r="BJ1033" s="770"/>
      <c r="BK1033" s="770"/>
      <c r="BL1033" s="770"/>
      <c r="BM1033" s="770"/>
      <c r="BN1033" s="770"/>
      <c r="BO1033" s="770"/>
      <c r="BP1033" s="770"/>
      <c r="BQ1033" s="770"/>
      <c r="BR1033" s="770"/>
      <c r="BS1033" s="770"/>
      <c r="BT1033" s="770"/>
      <c r="BU1033" s="770"/>
      <c r="BV1033" s="770"/>
      <c r="BW1033" s="770"/>
      <c r="BX1033" s="770"/>
      <c r="BY1033" s="770"/>
      <c r="BZ1033" s="770"/>
      <c r="CA1033" s="770"/>
      <c r="CB1033" s="770"/>
      <c r="CC1033" s="770"/>
      <c r="CD1033" s="770"/>
      <c r="CE1033" s="770"/>
      <c r="CF1033" s="770"/>
      <c r="CG1033" s="770"/>
      <c r="CH1033" s="770"/>
      <c r="CI1033" s="770"/>
      <c r="CJ1033" s="770"/>
      <c r="CK1033" s="770"/>
      <c r="CL1033" s="770"/>
      <c r="CM1033" s="770"/>
      <c r="CN1033" s="770"/>
      <c r="CO1033" s="770"/>
      <c r="CP1033" s="770"/>
      <c r="CQ1033" s="770"/>
      <c r="CR1033" s="770"/>
      <c r="CS1033" s="770"/>
      <c r="CT1033" s="770"/>
      <c r="CU1033" s="770"/>
      <c r="CV1033" s="770"/>
      <c r="CW1033" s="770"/>
      <c r="CX1033" s="770"/>
      <c r="CY1033" s="770"/>
      <c r="CZ1033" s="770"/>
      <c r="DA1033" s="770"/>
      <c r="DB1033" s="770"/>
      <c r="DC1033" s="770"/>
      <c r="DD1033" s="770"/>
      <c r="DE1033" s="770"/>
      <c r="DF1033" s="770"/>
      <c r="DG1033" s="770"/>
      <c r="DH1033" s="770"/>
      <c r="DI1033" s="770"/>
      <c r="DJ1033" s="770"/>
      <c r="DK1033" s="770"/>
      <c r="DL1033" s="770"/>
      <c r="DM1033" s="770"/>
      <c r="DN1033" s="770"/>
      <c r="DO1033" s="770"/>
      <c r="DP1033" s="770"/>
      <c r="DQ1033" s="770"/>
      <c r="DR1033" s="770"/>
      <c r="DS1033" s="770"/>
      <c r="DT1033" s="770"/>
      <c r="DU1033" s="770"/>
      <c r="DV1033" s="770"/>
      <c r="DW1033" s="770"/>
      <c r="DX1033" s="770"/>
      <c r="DY1033" s="770"/>
      <c r="DZ1033" s="770"/>
      <c r="EA1033" s="770"/>
      <c r="EB1033" s="770"/>
      <c r="EC1033" s="770"/>
      <c r="ED1033" s="770"/>
      <c r="EE1033" s="770"/>
      <c r="EF1033" s="770"/>
      <c r="EG1033" s="770"/>
      <c r="EH1033" s="770"/>
      <c r="EI1033" s="770"/>
      <c r="EJ1033" s="770"/>
      <c r="EK1033" s="770"/>
      <c r="EL1033" s="770"/>
      <c r="EM1033" s="770"/>
      <c r="EN1033" s="770"/>
      <c r="EO1033" s="770"/>
      <c r="EP1033" s="770"/>
      <c r="EQ1033" s="770"/>
      <c r="ER1033" s="770"/>
      <c r="ES1033" s="770"/>
      <c r="ET1033" s="770"/>
      <c r="EU1033" s="770"/>
      <c r="EV1033" s="770"/>
      <c r="EW1033" s="770"/>
      <c r="EX1033" s="770"/>
      <c r="EY1033" s="770"/>
      <c r="EZ1033" s="770"/>
      <c r="FA1033" s="770"/>
      <c r="FB1033" s="770"/>
      <c r="FC1033" s="770"/>
      <c r="FD1033" s="770"/>
      <c r="FE1033" s="770"/>
      <c r="FF1033" s="770"/>
      <c r="FG1033" s="770"/>
      <c r="FH1033" s="770"/>
      <c r="FI1033" s="770"/>
      <c r="FJ1033" s="770"/>
      <c r="FK1033" s="770"/>
      <c r="FL1033" s="770"/>
      <c r="FM1033" s="770"/>
      <c r="FN1033" s="770"/>
      <c r="FO1033" s="770"/>
      <c r="FP1033" s="770"/>
      <c r="FQ1033" s="770"/>
      <c r="FR1033" s="770"/>
      <c r="FS1033" s="770"/>
      <c r="FT1033" s="770"/>
      <c r="FU1033" s="770"/>
      <c r="FV1033" s="770"/>
      <c r="FW1033" s="770"/>
      <c r="FX1033" s="770"/>
      <c r="FY1033" s="770"/>
      <c r="FZ1033" s="770"/>
      <c r="GA1033" s="770"/>
      <c r="GB1033" s="770"/>
      <c r="GC1033" s="770"/>
      <c r="GD1033" s="770"/>
      <c r="GE1033" s="770"/>
      <c r="GF1033" s="770"/>
      <c r="GG1033" s="770"/>
      <c r="GH1033" s="770"/>
      <c r="GI1033" s="770"/>
      <c r="GJ1033" s="770"/>
      <c r="GK1033" s="770"/>
      <c r="GL1033" s="770"/>
      <c r="GM1033" s="770"/>
      <c r="GN1033" s="770"/>
      <c r="GO1033" s="770"/>
      <c r="GP1033" s="770"/>
      <c r="GQ1033" s="770"/>
      <c r="GR1033" s="770"/>
      <c r="GS1033" s="770"/>
      <c r="GT1033" s="770"/>
      <c r="GU1033" s="770"/>
      <c r="GV1033" s="770"/>
      <c r="GW1033" s="770"/>
      <c r="GX1033" s="770"/>
      <c r="GY1033" s="770"/>
      <c r="GZ1033" s="770"/>
      <c r="HA1033" s="770"/>
      <c r="HB1033" s="770"/>
      <c r="HC1033" s="770"/>
      <c r="HD1033" s="770"/>
      <c r="HE1033" s="770"/>
      <c r="HF1033" s="770"/>
      <c r="HG1033" s="770"/>
      <c r="HH1033" s="770"/>
      <c r="HI1033" s="770"/>
      <c r="HJ1033" s="770"/>
      <c r="HK1033" s="770"/>
      <c r="HL1033" s="770"/>
      <c r="HM1033" s="770"/>
      <c r="HN1033" s="770"/>
      <c r="HO1033" s="770"/>
      <c r="HP1033" s="770"/>
      <c r="HQ1033" s="770"/>
      <c r="HR1033" s="770"/>
      <c r="HS1033" s="770"/>
      <c r="HT1033" s="770"/>
      <c r="HU1033" s="770"/>
      <c r="HV1033" s="770"/>
      <c r="HW1033" s="770"/>
      <c r="HX1033" s="770"/>
      <c r="HY1033" s="770"/>
      <c r="HZ1033" s="770"/>
      <c r="IA1033" s="770"/>
      <c r="IB1033" s="770"/>
      <c r="IC1033" s="770"/>
      <c r="ID1033" s="770"/>
      <c r="IE1033" s="770"/>
      <c r="IF1033" s="770"/>
      <c r="IG1033" s="770"/>
      <c r="IH1033" s="770"/>
      <c r="II1033" s="770"/>
      <c r="IJ1033" s="770"/>
      <c r="IK1033" s="770"/>
    </row>
    <row r="1034" spans="1:245">
      <c r="A1034" s="231"/>
      <c r="B1034" s="239"/>
      <c r="C1034" s="585"/>
      <c r="D1034" s="586"/>
      <c r="E1034" s="232"/>
      <c r="F1034" s="214"/>
      <c r="G1034" s="232"/>
      <c r="H1034" s="1391"/>
      <c r="I1034" s="1391"/>
      <c r="J1034" s="1378"/>
      <c r="K1034" s="1379"/>
    </row>
    <row r="1035" spans="1:245">
      <c r="A1035" s="69"/>
      <c r="B1035" s="1083" t="s">
        <v>276</v>
      </c>
      <c r="C1035" s="1193" t="s">
        <v>1272</v>
      </c>
      <c r="D1035" s="587"/>
      <c r="E1035" s="1504"/>
      <c r="F1035" s="1504"/>
      <c r="G1035" s="1504"/>
      <c r="H1035" s="1374"/>
      <c r="I1035" s="1389"/>
      <c r="J1035" s="1378"/>
      <c r="K1035" s="1379"/>
    </row>
    <row r="1036" spans="1:245">
      <c r="A1036" s="477"/>
      <c r="B1036" s="1084" t="s">
        <v>476</v>
      </c>
      <c r="C1036" s="588"/>
      <c r="D1036" s="589"/>
      <c r="E1036" s="589"/>
      <c r="F1036" s="589"/>
      <c r="G1036" s="589"/>
      <c r="H1036" s="1450"/>
      <c r="I1036" s="1451"/>
      <c r="J1036" s="1378"/>
      <c r="K1036" s="1379"/>
    </row>
    <row r="1037" spans="1:245">
      <c r="A1037" s="477"/>
      <c r="B1037" s="772"/>
      <c r="C1037" s="589"/>
      <c r="D1037" s="589"/>
      <c r="E1037" s="589"/>
      <c r="F1037" s="589"/>
      <c r="G1037" s="589"/>
      <c r="H1037" s="1450"/>
      <c r="I1037" s="1451"/>
      <c r="J1037" s="1378"/>
      <c r="K1037" s="1379"/>
    </row>
    <row r="1038" spans="1:245" ht="31.5">
      <c r="A1038" s="90" t="s">
        <v>60</v>
      </c>
      <c r="B1038" s="993" t="s">
        <v>477</v>
      </c>
      <c r="C1038" s="889" t="s">
        <v>1258</v>
      </c>
      <c r="D1038" s="529"/>
      <c r="E1038" s="529"/>
      <c r="F1038" s="529"/>
      <c r="G1038" s="529"/>
      <c r="H1038" s="1438"/>
      <c r="I1038" s="1439"/>
      <c r="J1038" s="1378"/>
      <c r="K1038" s="1379"/>
    </row>
    <row r="1039" spans="1:245">
      <c r="A1039" s="92"/>
      <c r="B1039" s="993" t="s">
        <v>478</v>
      </c>
      <c r="C1039" s="245"/>
      <c r="D1039" s="234" t="s">
        <v>176</v>
      </c>
      <c r="E1039" s="105">
        <f>105.84+65.97+113.31</f>
        <v>285.12</v>
      </c>
      <c r="F1039" s="807"/>
      <c r="G1039" s="88">
        <f>+F1039*E1039</f>
        <v>0</v>
      </c>
      <c r="H1039" s="1392"/>
      <c r="I1039" s="1392"/>
      <c r="J1039" s="1378"/>
      <c r="K1039" s="1379"/>
    </row>
    <row r="1040" spans="1:245">
      <c r="A1040" s="477"/>
      <c r="B1040" s="772"/>
      <c r="C1040" s="589"/>
      <c r="D1040" s="589"/>
      <c r="E1040" s="105"/>
      <c r="F1040" s="589"/>
      <c r="G1040" s="589"/>
      <c r="H1040" s="1450"/>
      <c r="I1040" s="1451"/>
      <c r="J1040" s="1378"/>
      <c r="K1040" s="1379"/>
    </row>
    <row r="1041" spans="1:11" ht="94.5">
      <c r="A1041" s="90" t="s">
        <v>63</v>
      </c>
      <c r="B1041" s="1085" t="s">
        <v>479</v>
      </c>
      <c r="C1041" s="889" t="s">
        <v>1258</v>
      </c>
      <c r="D1041" s="493" t="s">
        <v>404</v>
      </c>
      <c r="E1041" s="105">
        <v>2093.54</v>
      </c>
      <c r="F1041" s="807"/>
      <c r="G1041" s="88">
        <f>F1041*E1041</f>
        <v>0</v>
      </c>
      <c r="H1041" s="1393"/>
      <c r="I1041" s="1393"/>
      <c r="J1041" s="1378"/>
      <c r="K1041" s="1379"/>
    </row>
    <row r="1042" spans="1:11">
      <c r="A1042" s="477"/>
      <c r="B1042" s="772"/>
      <c r="C1042" s="589"/>
      <c r="D1042" s="591"/>
      <c r="E1042" s="105"/>
      <c r="F1042" s="592"/>
      <c r="G1042" s="592"/>
      <c r="H1042" s="1452"/>
      <c r="I1042" s="1449"/>
      <c r="J1042" s="1378"/>
      <c r="K1042" s="1379"/>
    </row>
    <row r="1043" spans="1:11" ht="47.25">
      <c r="A1043" s="351">
        <v>3</v>
      </c>
      <c r="B1043" s="1085" t="s">
        <v>480</v>
      </c>
      <c r="C1043" s="889" t="s">
        <v>1258</v>
      </c>
      <c r="D1043" s="493" t="s">
        <v>418</v>
      </c>
      <c r="E1043" s="105">
        <v>946.38</v>
      </c>
      <c r="F1043" s="807"/>
      <c r="G1043" s="88">
        <f>F1043*E1043</f>
        <v>0</v>
      </c>
      <c r="H1043" s="1393"/>
      <c r="I1043" s="1393"/>
      <c r="J1043" s="1378"/>
      <c r="K1043" s="1379"/>
    </row>
    <row r="1044" spans="1:11">
      <c r="A1044" s="477"/>
      <c r="B1044" s="772"/>
      <c r="C1044" s="589"/>
      <c r="D1044" s="238"/>
      <c r="E1044" s="105"/>
      <c r="F1044" s="238"/>
      <c r="G1044" s="238"/>
      <c r="H1044" s="1439"/>
      <c r="I1044" s="1439"/>
      <c r="J1044" s="1378"/>
      <c r="K1044" s="1379"/>
    </row>
    <row r="1045" spans="1:11" ht="78.75">
      <c r="A1045" s="351">
        <v>4</v>
      </c>
      <c r="B1045" s="993" t="s">
        <v>481</v>
      </c>
      <c r="C1045" s="889" t="s">
        <v>1258</v>
      </c>
      <c r="D1045" s="493" t="s">
        <v>404</v>
      </c>
      <c r="E1045" s="105">
        <f>285.12*1.2</f>
        <v>342.14400000000001</v>
      </c>
      <c r="F1045" s="807"/>
      <c r="G1045" s="88">
        <f>F1045*E1045</f>
        <v>0</v>
      </c>
      <c r="H1045" s="1393"/>
      <c r="I1045" s="1393"/>
      <c r="J1045" s="1378"/>
      <c r="K1045" s="1379"/>
    </row>
    <row r="1046" spans="1:11">
      <c r="A1046" s="593"/>
      <c r="B1046" s="1086"/>
      <c r="C1046" s="594"/>
      <c r="D1046" s="583"/>
      <c r="E1046" s="583"/>
      <c r="F1046" s="583"/>
      <c r="G1046" s="583"/>
      <c r="H1046" s="1449"/>
      <c r="I1046" s="1449"/>
      <c r="J1046" s="1378"/>
      <c r="K1046" s="1379"/>
    </row>
    <row r="1047" spans="1:11" ht="78.75">
      <c r="A1047" s="351">
        <v>5</v>
      </c>
      <c r="B1047" s="993" t="s">
        <v>482</v>
      </c>
      <c r="C1047" s="889" t="s">
        <v>1258</v>
      </c>
      <c r="D1047" s="493" t="s">
        <v>404</v>
      </c>
      <c r="E1047" s="89">
        <f>0.67*0.1*285.12</f>
        <v>19.10304</v>
      </c>
      <c r="F1047" s="807"/>
      <c r="G1047" s="88">
        <f>F1047*E1047</f>
        <v>0</v>
      </c>
      <c r="H1047" s="1393"/>
      <c r="I1047" s="1393"/>
      <c r="J1047" s="1378"/>
      <c r="K1047" s="1379"/>
    </row>
    <row r="1048" spans="1:11">
      <c r="A1048" s="477"/>
      <c r="B1048" s="772"/>
      <c r="C1048" s="589"/>
      <c r="D1048" s="589"/>
      <c r="E1048" s="589"/>
      <c r="F1048" s="589"/>
      <c r="G1048" s="589"/>
      <c r="H1048" s="1450"/>
      <c r="I1048" s="1451"/>
      <c r="J1048" s="1378"/>
      <c r="K1048" s="1379"/>
    </row>
    <row r="1049" spans="1:11" ht="94.5">
      <c r="A1049" s="351">
        <v>6</v>
      </c>
      <c r="B1049" s="1085" t="s">
        <v>483</v>
      </c>
      <c r="C1049" s="889" t="s">
        <v>1258</v>
      </c>
      <c r="D1049" s="493" t="s">
        <v>404</v>
      </c>
      <c r="E1049" s="107">
        <f>285.12*1.2*1</f>
        <v>342.14400000000001</v>
      </c>
      <c r="F1049" s="807"/>
      <c r="G1049" s="88">
        <f>F1049*E1049</f>
        <v>0</v>
      </c>
      <c r="H1049" s="1393"/>
      <c r="I1049" s="1393"/>
      <c r="J1049" s="1378"/>
      <c r="K1049" s="1379"/>
    </row>
    <row r="1050" spans="1:11">
      <c r="A1050" s="477"/>
      <c r="B1050" s="772"/>
      <c r="C1050" s="589"/>
      <c r="D1050" s="583"/>
      <c r="E1050" s="583"/>
      <c r="F1050" s="583"/>
      <c r="G1050" s="583"/>
      <c r="H1050" s="1449"/>
      <c r="I1050" s="1449"/>
      <c r="J1050" s="1378"/>
      <c r="K1050" s="1379"/>
    </row>
    <row r="1051" spans="1:11" ht="63">
      <c r="A1051" s="351">
        <v>7</v>
      </c>
      <c r="B1051" s="993" t="s">
        <v>484</v>
      </c>
      <c r="C1051" s="889" t="s">
        <v>1258</v>
      </c>
      <c r="D1051" s="493" t="s">
        <v>404</v>
      </c>
      <c r="E1051" s="105">
        <f>+(205.29+2093.54)-342.14</f>
        <v>1956.69</v>
      </c>
      <c r="F1051" s="807"/>
      <c r="G1051" s="88">
        <f>F1051*E1051</f>
        <v>0</v>
      </c>
      <c r="H1051" s="1393"/>
      <c r="I1051" s="1393"/>
      <c r="J1051" s="1378"/>
      <c r="K1051" s="1379"/>
    </row>
    <row r="1052" spans="1:11">
      <c r="A1052" s="477"/>
      <c r="B1052" s="772"/>
      <c r="C1052" s="589"/>
      <c r="D1052" s="772"/>
      <c r="E1052" s="105"/>
      <c r="F1052" s="772"/>
      <c r="G1052" s="772"/>
      <c r="H1052" s="1451"/>
      <c r="I1052" s="1451"/>
      <c r="J1052" s="1378"/>
      <c r="K1052" s="1379"/>
    </row>
    <row r="1053" spans="1:11">
      <c r="A1053" s="477"/>
      <c r="B1053" s="1084" t="s">
        <v>485</v>
      </c>
      <c r="C1053" s="588"/>
      <c r="D1053" s="772"/>
      <c r="E1053" s="105"/>
      <c r="F1053" s="772"/>
      <c r="G1053" s="772"/>
      <c r="H1053" s="1451"/>
      <c r="I1053" s="1451"/>
      <c r="J1053" s="1378"/>
      <c r="K1053" s="1379"/>
    </row>
    <row r="1054" spans="1:11">
      <c r="A1054" s="477"/>
      <c r="B1054" s="772"/>
      <c r="C1054" s="589"/>
      <c r="D1054" s="238"/>
      <c r="E1054" s="105"/>
      <c r="F1054" s="238"/>
      <c r="G1054" s="238"/>
      <c r="H1054" s="1439"/>
      <c r="I1054" s="1439"/>
      <c r="J1054" s="1378"/>
      <c r="K1054" s="1379"/>
    </row>
    <row r="1055" spans="1:11" ht="31.5">
      <c r="A1055" s="90" t="s">
        <v>23</v>
      </c>
      <c r="B1055" s="993" t="s">
        <v>48</v>
      </c>
      <c r="C1055" s="889" t="s">
        <v>1258</v>
      </c>
      <c r="D1055" s="234" t="s">
        <v>176</v>
      </c>
      <c r="E1055" s="105">
        <v>354.64</v>
      </c>
      <c r="F1055" s="807"/>
      <c r="G1055" s="88">
        <f>+F1055*E1055</f>
        <v>0</v>
      </c>
      <c r="H1055" s="1392"/>
      <c r="I1055" s="1392"/>
      <c r="J1055" s="1378"/>
      <c r="K1055" s="1379"/>
    </row>
    <row r="1056" spans="1:11">
      <c r="A1056" s="477"/>
      <c r="B1056" s="772"/>
      <c r="C1056" s="589"/>
      <c r="D1056" s="590"/>
      <c r="E1056" s="105"/>
      <c r="F1056" s="583"/>
      <c r="G1056" s="583"/>
      <c r="H1056" s="1449"/>
      <c r="I1056" s="1449"/>
      <c r="J1056" s="1378"/>
      <c r="K1056" s="1379"/>
    </row>
    <row r="1057" spans="1:11" ht="47.25">
      <c r="A1057" s="90" t="s">
        <v>77</v>
      </c>
      <c r="B1057" s="1085" t="s">
        <v>486</v>
      </c>
      <c r="C1057" s="889" t="s">
        <v>1258</v>
      </c>
      <c r="D1057" s="493" t="s">
        <v>404</v>
      </c>
      <c r="E1057" s="233">
        <f>0.85*1*354</f>
        <v>300.89999999999998</v>
      </c>
      <c r="F1057" s="807"/>
      <c r="G1057" s="88">
        <f>F1057*E1057</f>
        <v>0</v>
      </c>
      <c r="H1057" s="1393"/>
      <c r="I1057" s="1393"/>
      <c r="J1057" s="1378"/>
      <c r="K1057" s="1379"/>
    </row>
    <row r="1058" spans="1:11">
      <c r="A1058" s="477"/>
      <c r="B1058" s="772"/>
      <c r="C1058" s="589"/>
      <c r="D1058" s="583"/>
      <c r="E1058" s="583"/>
      <c r="F1058" s="583"/>
      <c r="G1058" s="583"/>
      <c r="H1058" s="1449"/>
      <c r="I1058" s="1449"/>
      <c r="J1058" s="1378"/>
      <c r="K1058" s="1379"/>
    </row>
    <row r="1059" spans="1:11" ht="78.75">
      <c r="A1059" s="351">
        <v>10</v>
      </c>
      <c r="B1059" s="993" t="s">
        <v>487</v>
      </c>
      <c r="C1059" s="889" t="s">
        <v>1258</v>
      </c>
      <c r="D1059" s="493" t="s">
        <v>404</v>
      </c>
      <c r="E1059" s="89">
        <f>0.85*0.2*354.64</f>
        <v>60.288800000000002</v>
      </c>
      <c r="F1059" s="807"/>
      <c r="G1059" s="88">
        <f>F1059*E1059</f>
        <v>0</v>
      </c>
      <c r="H1059" s="1393"/>
      <c r="I1059" s="1393"/>
      <c r="J1059" s="1378"/>
      <c r="K1059" s="1379"/>
    </row>
    <row r="1060" spans="1:11">
      <c r="A1060" s="477"/>
      <c r="B1060" s="772"/>
      <c r="C1060" s="589"/>
      <c r="D1060" s="589"/>
      <c r="E1060" s="589"/>
      <c r="F1060" s="589"/>
      <c r="G1060" s="589"/>
      <c r="H1060" s="1450"/>
      <c r="I1060" s="1451"/>
      <c r="J1060" s="1378"/>
      <c r="K1060" s="1379"/>
    </row>
    <row r="1061" spans="1:11" ht="63">
      <c r="A1061" s="351">
        <v>11</v>
      </c>
      <c r="B1061" s="1085" t="s">
        <v>488</v>
      </c>
      <c r="C1061" s="889" t="s">
        <v>1258</v>
      </c>
      <c r="D1061" s="493" t="s">
        <v>404</v>
      </c>
      <c r="E1061" s="107">
        <f>2*0.3*0.8*354.64</f>
        <v>170.22719999999998</v>
      </c>
      <c r="F1061" s="807"/>
      <c r="G1061" s="88">
        <f>F1061*E1061</f>
        <v>0</v>
      </c>
      <c r="H1061" s="1393"/>
      <c r="I1061" s="1393"/>
      <c r="J1061" s="1378"/>
      <c r="K1061" s="1379"/>
    </row>
    <row r="1062" spans="1:11">
      <c r="A1062" s="477"/>
      <c r="B1062" s="772"/>
      <c r="C1062" s="589"/>
      <c r="D1062" s="583"/>
      <c r="E1062" s="583"/>
      <c r="F1062" s="583"/>
      <c r="G1062" s="583"/>
      <c r="H1062" s="1449"/>
      <c r="I1062" s="1449"/>
      <c r="J1062" s="1378"/>
      <c r="K1062" s="1379"/>
    </row>
    <row r="1063" spans="1:11" ht="63">
      <c r="A1063" s="351">
        <v>12</v>
      </c>
      <c r="B1063" s="993" t="s">
        <v>484</v>
      </c>
      <c r="C1063" s="889" t="s">
        <v>1258</v>
      </c>
      <c r="D1063" s="493" t="s">
        <v>404</v>
      </c>
      <c r="E1063" s="105">
        <f>300.9-170.23</f>
        <v>130.66999999999999</v>
      </c>
      <c r="F1063" s="807"/>
      <c r="G1063" s="88">
        <f>F1063*E1063</f>
        <v>0</v>
      </c>
      <c r="H1063" s="1393"/>
      <c r="I1063" s="1393"/>
      <c r="J1063" s="1378"/>
      <c r="K1063" s="1379"/>
    </row>
    <row r="1064" spans="1:11">
      <c r="A1064" s="237"/>
      <c r="B1064" s="961"/>
      <c r="C1064" s="217"/>
      <c r="D1064" s="154"/>
      <c r="E1064" s="105"/>
      <c r="F1064" s="88"/>
      <c r="G1064" s="88"/>
      <c r="H1064" s="1391"/>
      <c r="I1064" s="1391"/>
      <c r="J1064" s="1378"/>
      <c r="K1064" s="1379"/>
    </row>
    <row r="1065" spans="1:11">
      <c r="A1065" s="237"/>
      <c r="B1065" s="1084" t="s">
        <v>489</v>
      </c>
      <c r="C1065" s="588"/>
      <c r="D1065" s="154"/>
      <c r="E1065" s="105"/>
      <c r="F1065" s="88"/>
      <c r="G1065" s="88"/>
      <c r="H1065" s="1391"/>
      <c r="I1065" s="1391"/>
      <c r="J1065" s="1378"/>
      <c r="K1065" s="1379"/>
    </row>
    <row r="1066" spans="1:11">
      <c r="A1066" s="237"/>
      <c r="B1066" s="1082"/>
      <c r="C1066" s="595"/>
      <c r="D1066" s="154"/>
      <c r="E1066" s="105"/>
      <c r="F1066" s="88"/>
      <c r="G1066" s="88"/>
      <c r="H1066" s="1391"/>
      <c r="I1066" s="1391"/>
      <c r="J1066" s="1378"/>
      <c r="K1066" s="1379"/>
    </row>
    <row r="1067" spans="1:11" ht="31.5">
      <c r="A1067" s="90" t="s">
        <v>35</v>
      </c>
      <c r="B1067" s="993" t="s">
        <v>277</v>
      </c>
      <c r="C1067" s="889" t="s">
        <v>1258</v>
      </c>
      <c r="D1067" s="215" t="s">
        <v>176</v>
      </c>
      <c r="E1067" s="105">
        <v>219.56</v>
      </c>
      <c r="F1067" s="807"/>
      <c r="G1067" s="88">
        <f>+F1067*E1067</f>
        <v>0</v>
      </c>
      <c r="H1067" s="1392"/>
      <c r="I1067" s="1392"/>
      <c r="J1067" s="1378"/>
      <c r="K1067" s="1379"/>
    </row>
    <row r="1068" spans="1:11">
      <c r="A1068" s="206"/>
      <c r="B1068" s="597"/>
      <c r="C1068" s="596"/>
      <c r="D1068" s="375"/>
      <c r="E1068" s="105"/>
      <c r="F1068" s="597"/>
      <c r="G1068" s="597"/>
      <c r="H1068" s="1453"/>
      <c r="I1068" s="1453"/>
      <c r="J1068" s="1378"/>
      <c r="K1068" s="1379"/>
    </row>
    <row r="1069" spans="1:11" ht="78.75">
      <c r="A1069" s="90" t="s">
        <v>36</v>
      </c>
      <c r="B1069" s="993" t="s">
        <v>490</v>
      </c>
      <c r="C1069" s="889" t="s">
        <v>1258</v>
      </c>
      <c r="D1069" s="493" t="s">
        <v>404</v>
      </c>
      <c r="E1069" s="105">
        <f>0.85*1*219.56</f>
        <v>186.626</v>
      </c>
      <c r="F1069" s="807"/>
      <c r="G1069" s="88">
        <f>F1069*E1069</f>
        <v>0</v>
      </c>
      <c r="H1069" s="1393"/>
      <c r="I1069" s="1393"/>
      <c r="J1069" s="1378"/>
      <c r="K1069" s="1379"/>
    </row>
    <row r="1070" spans="1:11">
      <c r="A1070" s="206"/>
      <c r="B1070" s="597"/>
      <c r="C1070" s="596"/>
      <c r="D1070" s="597"/>
      <c r="E1070" s="597"/>
      <c r="F1070" s="597"/>
      <c r="G1070" s="597"/>
      <c r="H1070" s="1453"/>
      <c r="I1070" s="1453"/>
      <c r="J1070" s="1378"/>
      <c r="K1070" s="1379"/>
    </row>
    <row r="1071" spans="1:11" ht="78.75">
      <c r="A1071" s="178">
        <v>15</v>
      </c>
      <c r="B1071" s="993" t="s">
        <v>491</v>
      </c>
      <c r="C1071" s="889" t="s">
        <v>1258</v>
      </c>
      <c r="D1071" s="493" t="s">
        <v>404</v>
      </c>
      <c r="E1071" s="89">
        <f>0.85*0.2*219.56</f>
        <v>37.325200000000002</v>
      </c>
      <c r="F1071" s="807"/>
      <c r="G1071" s="88">
        <f>F1071*E1071</f>
        <v>0</v>
      </c>
      <c r="H1071" s="1393"/>
      <c r="I1071" s="1393"/>
      <c r="J1071" s="1378"/>
      <c r="K1071" s="1379"/>
    </row>
    <row r="1072" spans="1:11">
      <c r="A1072" s="206"/>
      <c r="B1072" s="597"/>
      <c r="C1072" s="596"/>
      <c r="D1072" s="596"/>
      <c r="E1072" s="596"/>
      <c r="F1072" s="596"/>
      <c r="G1072" s="596"/>
      <c r="H1072" s="1454"/>
      <c r="I1072" s="1453"/>
      <c r="J1072" s="1378"/>
      <c r="K1072" s="1379"/>
    </row>
    <row r="1073" spans="1:11" ht="63">
      <c r="A1073" s="178">
        <v>16</v>
      </c>
      <c r="B1073" s="993" t="s">
        <v>492</v>
      </c>
      <c r="C1073" s="889" t="s">
        <v>1258</v>
      </c>
      <c r="D1073" s="493" t="s">
        <v>404</v>
      </c>
      <c r="E1073" s="107">
        <f>2*0.3*0.8*219.56</f>
        <v>105.3888</v>
      </c>
      <c r="F1073" s="807"/>
      <c r="G1073" s="88">
        <f>F1073*E1073</f>
        <v>0</v>
      </c>
      <c r="H1073" s="1393"/>
      <c r="I1073" s="1393"/>
      <c r="J1073" s="1378"/>
      <c r="K1073" s="1379"/>
    </row>
    <row r="1074" spans="1:11">
      <c r="A1074" s="206"/>
      <c r="B1074" s="597"/>
      <c r="C1074" s="596"/>
      <c r="D1074" s="596"/>
      <c r="E1074" s="596"/>
      <c r="F1074" s="596"/>
      <c r="G1074" s="596"/>
      <c r="H1074" s="1454"/>
      <c r="I1074" s="1453"/>
      <c r="J1074" s="1378"/>
      <c r="K1074" s="1379"/>
    </row>
    <row r="1075" spans="1:11" ht="78.75">
      <c r="A1075" s="178">
        <v>17</v>
      </c>
      <c r="B1075" s="993" t="s">
        <v>493</v>
      </c>
      <c r="C1075" s="889" t="s">
        <v>1258</v>
      </c>
      <c r="D1075" s="493" t="s">
        <v>404</v>
      </c>
      <c r="E1075" s="89">
        <f>186.63-105.39</f>
        <v>81.239999999999995</v>
      </c>
      <c r="F1075" s="807"/>
      <c r="G1075" s="88">
        <f>F1075*E1075</f>
        <v>0</v>
      </c>
      <c r="H1075" s="1393"/>
      <c r="I1075" s="1393"/>
      <c r="J1075" s="1378"/>
      <c r="K1075" s="1379"/>
    </row>
    <row r="1076" spans="1:11">
      <c r="A1076" s="95"/>
      <c r="B1076" s="1087" t="s">
        <v>58</v>
      </c>
      <c r="C1076" s="598"/>
      <c r="D1076" s="599"/>
      <c r="E1076" s="98"/>
      <c r="F1076" s="98"/>
      <c r="G1076" s="99">
        <f>SUM(G1038:G1075)</f>
        <v>0</v>
      </c>
      <c r="H1076" s="1396"/>
      <c r="I1076" s="1396"/>
      <c r="J1076" s="1378"/>
      <c r="K1076" s="1379"/>
    </row>
    <row r="1077" spans="1:11">
      <c r="A1077" s="207"/>
      <c r="B1077" s="1088"/>
      <c r="C1077" s="600"/>
      <c r="D1077" s="601"/>
      <c r="E1077" s="210"/>
      <c r="F1077" s="210"/>
      <c r="G1077" s="434"/>
      <c r="H1077" s="1391"/>
      <c r="I1077" s="1391"/>
      <c r="J1077" s="1378"/>
      <c r="K1077" s="1379"/>
    </row>
    <row r="1078" spans="1:11" ht="47.25">
      <c r="A1078" s="69"/>
      <c r="B1078" s="1083" t="s">
        <v>59</v>
      </c>
      <c r="C1078" s="1195" t="s">
        <v>1244</v>
      </c>
      <c r="D1078" s="587"/>
      <c r="E1078" s="602"/>
      <c r="F1078" s="109"/>
      <c r="G1078" s="122"/>
      <c r="H1078" s="1391"/>
      <c r="I1078" s="1391"/>
      <c r="J1078" s="1378"/>
      <c r="K1078" s="1379"/>
    </row>
    <row r="1079" spans="1:11">
      <c r="A1079" s="221"/>
      <c r="B1079" s="583"/>
      <c r="C1079" s="592"/>
      <c r="D1079" s="592"/>
      <c r="E1079" s="592"/>
      <c r="F1079" s="592"/>
      <c r="G1079" s="592"/>
      <c r="H1079" s="1452"/>
      <c r="I1079" s="1449"/>
      <c r="J1079" s="1378"/>
      <c r="K1079" s="1379"/>
    </row>
    <row r="1080" spans="1:11" ht="63">
      <c r="A1080" s="90" t="s">
        <v>60</v>
      </c>
      <c r="B1080" s="993" t="s">
        <v>494</v>
      </c>
      <c r="C1080" s="889" t="s">
        <v>1258</v>
      </c>
      <c r="D1080" s="493" t="s">
        <v>418</v>
      </c>
      <c r="E1080" s="105">
        <v>1434.45</v>
      </c>
      <c r="F1080" s="807"/>
      <c r="G1080" s="88">
        <f>F1080*E1080</f>
        <v>0</v>
      </c>
      <c r="H1080" s="1393"/>
      <c r="I1080" s="1393"/>
      <c r="J1080" s="1378"/>
      <c r="K1080" s="1379"/>
    </row>
    <row r="1081" spans="1:11">
      <c r="A1081" s="417"/>
      <c r="B1081" s="985"/>
      <c r="C1081" s="241"/>
      <c r="D1081" s="590"/>
      <c r="E1081" s="105"/>
      <c r="F1081" s="583"/>
      <c r="G1081" s="583"/>
      <c r="H1081" s="1449"/>
      <c r="I1081" s="1449"/>
      <c r="J1081" s="1378"/>
      <c r="K1081" s="1379"/>
    </row>
    <row r="1082" spans="1:11" ht="63">
      <c r="A1082" s="90" t="s">
        <v>63</v>
      </c>
      <c r="B1082" s="993" t="s">
        <v>495</v>
      </c>
      <c r="C1082" s="889" t="s">
        <v>1258</v>
      </c>
      <c r="D1082" s="493" t="s">
        <v>404</v>
      </c>
      <c r="E1082" s="105">
        <f>2*265.7*0.45</f>
        <v>239.13</v>
      </c>
      <c r="F1082" s="807"/>
      <c r="G1082" s="88">
        <f>F1082*E1082</f>
        <v>0</v>
      </c>
      <c r="H1082" s="1393"/>
      <c r="I1082" s="1393"/>
      <c r="J1082" s="1378"/>
      <c r="K1082" s="1379"/>
    </row>
    <row r="1083" spans="1:11">
      <c r="A1083" s="221"/>
      <c r="B1083" s="1090"/>
      <c r="C1083" s="603"/>
      <c r="D1083" s="89"/>
      <c r="E1083" s="105"/>
      <c r="F1083" s="88"/>
      <c r="G1083" s="88"/>
      <c r="H1083" s="1391"/>
      <c r="I1083" s="1391"/>
      <c r="J1083" s="1378"/>
      <c r="K1083" s="1379"/>
    </row>
    <row r="1084" spans="1:11" ht="63">
      <c r="A1084" s="90" t="s">
        <v>65</v>
      </c>
      <c r="B1084" s="993" t="s">
        <v>496</v>
      </c>
      <c r="C1084" s="889" t="s">
        <v>1258</v>
      </c>
      <c r="D1084" s="493" t="s">
        <v>404</v>
      </c>
      <c r="E1084" s="105">
        <v>484.58</v>
      </c>
      <c r="F1084" s="807"/>
      <c r="G1084" s="88">
        <f>F1084*E1084</f>
        <v>0</v>
      </c>
      <c r="H1084" s="1393"/>
      <c r="I1084" s="1393"/>
      <c r="J1084" s="1378"/>
      <c r="K1084" s="1379"/>
    </row>
    <row r="1085" spans="1:11">
      <c r="A1085" s="477"/>
      <c r="B1085" s="985"/>
      <c r="C1085" s="241"/>
      <c r="D1085" s="375"/>
      <c r="E1085" s="597"/>
      <c r="F1085" s="597"/>
      <c r="G1085" s="597"/>
      <c r="H1085" s="1453"/>
      <c r="I1085" s="1453"/>
      <c r="J1085" s="1378"/>
      <c r="K1085" s="1379"/>
    </row>
    <row r="1086" spans="1:11" ht="63">
      <c r="A1086" s="90" t="s">
        <v>368</v>
      </c>
      <c r="B1086" s="993" t="s">
        <v>497</v>
      </c>
      <c r="C1086" s="889" t="s">
        <v>1258</v>
      </c>
      <c r="D1086" s="493" t="s">
        <v>404</v>
      </c>
      <c r="E1086" s="89">
        <f>0.67*0.1*(105.84+65.97+113.31)</f>
        <v>19.10304</v>
      </c>
      <c r="F1086" s="807"/>
      <c r="G1086" s="88">
        <f>F1086*E1086</f>
        <v>0</v>
      </c>
      <c r="H1086" s="1393"/>
      <c r="I1086" s="1393"/>
      <c r="J1086" s="1378"/>
      <c r="K1086" s="1379"/>
    </row>
    <row r="1087" spans="1:11">
      <c r="A1087" s="477"/>
      <c r="B1087" s="985"/>
      <c r="C1087" s="241"/>
      <c r="D1087" s="213"/>
      <c r="E1087" s="212"/>
      <c r="F1087" s="210"/>
      <c r="G1087" s="210"/>
      <c r="H1087" s="1391"/>
      <c r="I1087" s="1391"/>
      <c r="J1087" s="1378"/>
      <c r="K1087" s="1379"/>
    </row>
    <row r="1088" spans="1:11" ht="78.75">
      <c r="A1088" s="90" t="s">
        <v>70</v>
      </c>
      <c r="B1088" s="993" t="s">
        <v>498</v>
      </c>
      <c r="C1088" s="889" t="s">
        <v>1258</v>
      </c>
      <c r="D1088" s="493" t="s">
        <v>404</v>
      </c>
      <c r="E1088" s="89">
        <v>150.72999999999999</v>
      </c>
      <c r="F1088" s="807"/>
      <c r="G1088" s="88">
        <f>F1088*E1088</f>
        <v>0</v>
      </c>
      <c r="H1088" s="1393"/>
      <c r="I1088" s="1393"/>
      <c r="J1088" s="1378"/>
      <c r="K1088" s="1379"/>
    </row>
    <row r="1089" spans="1:11">
      <c r="A1089" s="95"/>
      <c r="B1089" s="1091" t="s">
        <v>80</v>
      </c>
      <c r="C1089" s="604"/>
      <c r="D1089" s="97"/>
      <c r="E1089" s="605"/>
      <c r="F1089" s="98"/>
      <c r="G1089" s="99">
        <f>SUM(G1080:G1088)</f>
        <v>0</v>
      </c>
      <c r="H1089" s="1396"/>
      <c r="I1089" s="1396"/>
      <c r="J1089" s="1378"/>
      <c r="K1089" s="1379"/>
    </row>
    <row r="1090" spans="1:11">
      <c r="A1090" s="207"/>
      <c r="B1090" s="1092"/>
      <c r="C1090" s="606"/>
      <c r="D1090" s="212"/>
      <c r="E1090" s="607"/>
      <c r="F1090" s="210"/>
      <c r="G1090" s="434"/>
      <c r="H1090" s="1391"/>
      <c r="I1090" s="1391"/>
      <c r="J1090" s="1378"/>
      <c r="K1090" s="1379"/>
    </row>
    <row r="1091" spans="1:11">
      <c r="A1091" s="69"/>
      <c r="B1091" s="1089" t="s">
        <v>81</v>
      </c>
      <c r="C1091" s="1188" t="s">
        <v>1244</v>
      </c>
      <c r="D1091" s="587"/>
      <c r="E1091" s="602"/>
      <c r="F1091" s="109"/>
      <c r="G1091" s="122"/>
      <c r="H1091" s="1391"/>
      <c r="I1091" s="1391"/>
      <c r="J1091" s="1378"/>
      <c r="K1091" s="1379"/>
    </row>
    <row r="1092" spans="1:11">
      <c r="A1092" s="477"/>
      <c r="B1092" s="772"/>
      <c r="C1092" s="589"/>
      <c r="D1092" s="589"/>
      <c r="E1092" s="589"/>
      <c r="F1092" s="589"/>
      <c r="G1092" s="589"/>
      <c r="H1092" s="1450"/>
      <c r="I1092" s="1451"/>
      <c r="J1092" s="1378"/>
      <c r="K1092" s="1379"/>
    </row>
    <row r="1093" spans="1:11" ht="63">
      <c r="A1093" s="90" t="s">
        <v>60</v>
      </c>
      <c r="B1093" s="993" t="s">
        <v>284</v>
      </c>
      <c r="C1093" s="889" t="s">
        <v>1258</v>
      </c>
      <c r="D1093" s="608"/>
      <c r="E1093" s="64"/>
      <c r="F1093" s="82"/>
      <c r="G1093" s="64"/>
      <c r="H1093" s="1391"/>
      <c r="I1093" s="1391"/>
      <c r="J1093" s="1378"/>
      <c r="K1093" s="1379"/>
    </row>
    <row r="1094" spans="1:11">
      <c r="A1094" s="92"/>
      <c r="B1094" s="993" t="s">
        <v>336</v>
      </c>
      <c r="C1094" s="245"/>
      <c r="D1094" s="608"/>
      <c r="E1094" s="64"/>
      <c r="F1094" s="82"/>
      <c r="G1094" s="64"/>
      <c r="H1094" s="1391"/>
      <c r="I1094" s="1391"/>
      <c r="J1094" s="1378"/>
      <c r="K1094" s="1379"/>
    </row>
    <row r="1095" spans="1:11">
      <c r="A1095" s="92"/>
      <c r="B1095" s="993" t="s">
        <v>337</v>
      </c>
      <c r="C1095" s="245"/>
      <c r="D1095" s="215" t="s">
        <v>83</v>
      </c>
      <c r="E1095" s="462">
        <v>116160.2</v>
      </c>
      <c r="F1095" s="807">
        <v>0</v>
      </c>
      <c r="G1095" s="88">
        <f>F1095*E1095</f>
        <v>0</v>
      </c>
      <c r="H1095" s="1393"/>
      <c r="I1095" s="1393"/>
      <c r="J1095" s="1378"/>
      <c r="K1095" s="1379"/>
    </row>
    <row r="1096" spans="1:11">
      <c r="A1096" s="95"/>
      <c r="B1096" s="1091" t="s">
        <v>84</v>
      </c>
      <c r="C1096" s="604"/>
      <c r="D1096" s="97"/>
      <c r="E1096" s="605"/>
      <c r="F1096" s="98"/>
      <c r="G1096" s="99">
        <f>SUM(G1093:G1095)</f>
        <v>0</v>
      </c>
      <c r="H1096" s="1396"/>
      <c r="I1096" s="1396"/>
      <c r="J1096" s="1378"/>
      <c r="K1096" s="1379"/>
    </row>
    <row r="1097" spans="1:11">
      <c r="A1097" s="207"/>
      <c r="B1097" s="994"/>
      <c r="C1097" s="256"/>
      <c r="D1097" s="242"/>
      <c r="E1097" s="210"/>
      <c r="F1097" s="210"/>
      <c r="G1097" s="210"/>
      <c r="H1097" s="1391"/>
      <c r="I1097" s="1391"/>
      <c r="J1097" s="1378"/>
      <c r="K1097" s="1379"/>
    </row>
    <row r="1098" spans="1:11">
      <c r="A1098" s="231"/>
      <c r="B1098" s="239"/>
      <c r="C1098" s="585"/>
      <c r="D1098" s="586"/>
      <c r="E1098" s="232"/>
      <c r="F1098" s="214"/>
      <c r="G1098" s="232"/>
      <c r="H1098" s="1391"/>
      <c r="I1098" s="1391"/>
      <c r="J1098" s="1378"/>
      <c r="K1098" s="1379"/>
    </row>
    <row r="1099" spans="1:11">
      <c r="A1099" s="95"/>
      <c r="B1099" s="1091" t="s">
        <v>499</v>
      </c>
      <c r="C1099" s="604"/>
      <c r="D1099" s="97"/>
      <c r="E1099" s="605"/>
      <c r="F1099" s="98"/>
      <c r="G1099" s="99"/>
      <c r="H1099" s="1396"/>
      <c r="I1099" s="1396"/>
      <c r="J1099" s="1378"/>
      <c r="K1099" s="1379"/>
    </row>
    <row r="1100" spans="1:11">
      <c r="A1100" s="270" t="s">
        <v>247</v>
      </c>
      <c r="B1100" s="182" t="s">
        <v>248</v>
      </c>
      <c r="C1100" s="184"/>
      <c r="D1100" s="63"/>
      <c r="E1100" s="512"/>
      <c r="F1100" s="64"/>
      <c r="G1100" s="64">
        <f>+G1076</f>
        <v>0</v>
      </c>
      <c r="H1100" s="1390"/>
      <c r="I1100" s="1390"/>
      <c r="J1100" s="1378"/>
      <c r="K1100" s="1379"/>
    </row>
    <row r="1101" spans="1:11">
      <c r="A1101" s="270" t="s">
        <v>249</v>
      </c>
      <c r="B1101" s="952" t="s">
        <v>250</v>
      </c>
      <c r="C1101" s="472"/>
      <c r="D1101" s="63"/>
      <c r="E1101" s="512"/>
      <c r="F1101" s="64"/>
      <c r="G1101" s="64">
        <f>+G1089</f>
        <v>0</v>
      </c>
      <c r="H1101" s="1390"/>
      <c r="I1101" s="1390"/>
      <c r="J1101" s="1378"/>
      <c r="K1101" s="1379"/>
    </row>
    <row r="1102" spans="1:11">
      <c r="A1102" s="270" t="s">
        <v>251</v>
      </c>
      <c r="B1102" s="952" t="s">
        <v>252</v>
      </c>
      <c r="C1102" s="472"/>
      <c r="D1102" s="63"/>
      <c r="E1102" s="512"/>
      <c r="F1102" s="64"/>
      <c r="G1102" s="64">
        <f>+G1096</f>
        <v>0</v>
      </c>
      <c r="H1102" s="1390"/>
      <c r="I1102" s="1390"/>
      <c r="J1102" s="1378"/>
      <c r="K1102" s="1379"/>
    </row>
    <row r="1103" spans="1:11">
      <c r="A1103" s="609"/>
      <c r="B1103" s="1093" t="s">
        <v>500</v>
      </c>
      <c r="C1103" s="763"/>
      <c r="D1103" s="610"/>
      <c r="E1103" s="611"/>
      <c r="F1103" s="612"/>
      <c r="G1103" s="613">
        <f>SUM(G1100:G1102)</f>
        <v>0</v>
      </c>
      <c r="H1103" s="1455"/>
      <c r="I1103" s="1455"/>
      <c r="J1103" s="1378"/>
      <c r="K1103" s="1379"/>
    </row>
    <row r="1104" spans="1:11">
      <c r="K1104" s="1379"/>
    </row>
    <row r="1105" spans="1:11">
      <c r="K1105" s="1379"/>
    </row>
    <row r="1106" spans="1:11">
      <c r="K1106" s="1379"/>
    </row>
    <row r="1107" spans="1:11">
      <c r="A1107" s="1118"/>
      <c r="B1107" s="1119" t="s">
        <v>896</v>
      </c>
      <c r="C1107" s="1120"/>
      <c r="D1107" s="1121"/>
      <c r="E1107" s="1122"/>
      <c r="F1107" s="1123"/>
      <c r="G1107" s="1124"/>
      <c r="H1107" s="1456"/>
      <c r="I1107" s="1456"/>
      <c r="K1107" s="1379"/>
    </row>
    <row r="1108" spans="1:11">
      <c r="A1108" s="952" t="s">
        <v>0</v>
      </c>
      <c r="G1108" s="64">
        <f>G75</f>
        <v>0</v>
      </c>
      <c r="K1108" s="1379"/>
    </row>
    <row r="1109" spans="1:11">
      <c r="A1109" s="952" t="s">
        <v>45</v>
      </c>
      <c r="G1109" s="64">
        <f>G399</f>
        <v>0</v>
      </c>
      <c r="K1109" s="1379"/>
    </row>
    <row r="1110" spans="1:11">
      <c r="A1110" s="952" t="s">
        <v>899</v>
      </c>
      <c r="G1110" s="64">
        <f>G514</f>
        <v>0</v>
      </c>
      <c r="K1110" s="1379"/>
    </row>
    <row r="1111" spans="1:11">
      <c r="A1111" s="952" t="s">
        <v>1112</v>
      </c>
      <c r="G1111" s="64">
        <f>G566</f>
        <v>0</v>
      </c>
      <c r="K1111" s="1379"/>
    </row>
    <row r="1112" spans="1:11">
      <c r="A1112" s="952" t="s">
        <v>352</v>
      </c>
      <c r="G1112" s="64">
        <f>G575</f>
        <v>0</v>
      </c>
      <c r="K1112" s="1379"/>
    </row>
    <row r="1113" spans="1:11">
      <c r="A1113" s="952" t="s">
        <v>902</v>
      </c>
      <c r="G1113" s="64">
        <f>G619</f>
        <v>0</v>
      </c>
      <c r="K1113" s="1379"/>
    </row>
    <row r="1114" spans="1:11">
      <c r="A1114" s="952" t="s">
        <v>903</v>
      </c>
      <c r="G1114" s="64">
        <f>G666</f>
        <v>0</v>
      </c>
      <c r="K1114" s="1379"/>
    </row>
    <row r="1115" spans="1:11">
      <c r="A1115" s="952" t="s">
        <v>904</v>
      </c>
      <c r="G1115" s="64">
        <f>G724</f>
        <v>0</v>
      </c>
      <c r="K1115" s="1379"/>
    </row>
    <row r="1116" spans="1:11">
      <c r="A1116" s="952" t="s">
        <v>905</v>
      </c>
      <c r="G1116" s="64">
        <f>G784</f>
        <v>0</v>
      </c>
      <c r="K1116" s="1379"/>
    </row>
    <row r="1117" spans="1:11">
      <c r="A1117" s="952" t="s">
        <v>906</v>
      </c>
      <c r="G1117" s="64">
        <f>G863</f>
        <v>0</v>
      </c>
      <c r="K1117" s="1379"/>
    </row>
    <row r="1118" spans="1:11">
      <c r="A1118" s="952" t="s">
        <v>907</v>
      </c>
      <c r="G1118" s="64">
        <f>G951</f>
        <v>0</v>
      </c>
      <c r="K1118" s="1379"/>
    </row>
    <row r="1119" spans="1:11">
      <c r="A1119" s="952" t="s">
        <v>908</v>
      </c>
      <c r="G1119" s="64">
        <f>G1028</f>
        <v>0</v>
      </c>
      <c r="K1119" s="1379"/>
    </row>
    <row r="1120" spans="1:11">
      <c r="A1120" s="952" t="s">
        <v>475</v>
      </c>
      <c r="G1120" s="64">
        <f>G1103</f>
        <v>0</v>
      </c>
      <c r="K1120" s="1379"/>
    </row>
    <row r="1121" spans="1:11">
      <c r="A1121" s="1118"/>
      <c r="B1121" s="1119" t="s">
        <v>919</v>
      </c>
      <c r="C1121" s="1120"/>
      <c r="D1121" s="1121"/>
      <c r="E1121" s="1122"/>
      <c r="F1121" s="1123"/>
      <c r="G1121" s="1124">
        <f>SUM(G1108:G1120)</f>
        <v>0</v>
      </c>
      <c r="H1121" s="1456"/>
      <c r="I1121" s="1456"/>
      <c r="K1121" s="1379"/>
    </row>
    <row r="1122" spans="1:11">
      <c r="K1122" s="1379"/>
    </row>
  </sheetData>
  <sheetProtection sheet="1" objects="1" scenarios="1" formatRows="0" selectLockedCells="1"/>
  <mergeCells count="16">
    <mergeCell ref="B718:F718"/>
    <mergeCell ref="B5:G5"/>
    <mergeCell ref="B79:G79"/>
    <mergeCell ref="E82:G82"/>
    <mergeCell ref="B457:E457"/>
    <mergeCell ref="B517:G517"/>
    <mergeCell ref="B778:F778"/>
    <mergeCell ref="B990:E990"/>
    <mergeCell ref="B1012:E1012"/>
    <mergeCell ref="B1021:E1021"/>
    <mergeCell ref="E1035:G1035"/>
    <mergeCell ref="B983:E983"/>
    <mergeCell ref="B846:E846"/>
    <mergeCell ref="B856:D856"/>
    <mergeCell ref="B932:E932"/>
    <mergeCell ref="B920:E920"/>
  </mergeCells>
  <pageMargins left="0.78740157480314965" right="0.39370078740157483" top="0.74803149606299213" bottom="0.62992125984251968" header="0.39370078740157483" footer="0.39370078740157483"/>
  <pageSetup paperSize="9" scale="44" orientation="portrait" useFirstPageNumber="1" horizontalDpi="300" verticalDpi="300" r:id="rId1"/>
  <headerFooter alignWithMargins="0">
    <oddHeader>&amp;L&amp;"Times New Roman,Standard"Construction of BCP Kotroman&amp;R&amp;"Times New Roman,Standard"&amp;10Bill of Quantities</oddHeader>
    <oddFooter>&amp;R&amp;"Times New Roman,Regular"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Z65"/>
  <sheetViews>
    <sheetView showZeros="0" view="pageBreakPreview" topLeftCell="A11" zoomScaleNormal="100" zoomScaleSheetLayoutView="100" workbookViewId="0">
      <selection activeCell="F19" sqref="F19"/>
    </sheetView>
  </sheetViews>
  <sheetFormatPr baseColWidth="10" defaultColWidth="9.140625" defaultRowHeight="12.75"/>
  <cols>
    <col min="1" max="1" width="6.42578125" style="617" customWidth="1"/>
    <col min="2" max="2" width="36.42578125" style="1102" customWidth="1"/>
    <col min="3" max="3" width="11.140625" style="617" customWidth="1"/>
    <col min="4" max="4" width="7.7109375" style="617" customWidth="1"/>
    <col min="5" max="5" width="11.7109375" style="616" customWidth="1"/>
    <col min="6" max="6" width="13.28515625" style="615" customWidth="1"/>
    <col min="7" max="7" width="16.42578125" style="615" customWidth="1"/>
    <col min="8" max="16384" width="9.140625" style="614"/>
  </cols>
  <sheetData>
    <row r="1" spans="1:234" s="1341" customFormat="1" ht="18.75">
      <c r="B1" s="1342" t="s">
        <v>1116</v>
      </c>
      <c r="C1" s="1343"/>
      <c r="D1" s="1344"/>
      <c r="E1" s="1345"/>
      <c r="F1" s="1346"/>
      <c r="G1" s="1347"/>
      <c r="H1" s="1348"/>
      <c r="I1" s="1348"/>
      <c r="J1" s="1348"/>
      <c r="K1" s="1348"/>
      <c r="L1" s="1348"/>
      <c r="M1" s="1348"/>
      <c r="N1" s="1348"/>
      <c r="O1" s="1348"/>
      <c r="P1" s="1348"/>
      <c r="Q1" s="1348"/>
      <c r="R1" s="1348"/>
      <c r="S1" s="1348"/>
      <c r="T1" s="1348"/>
      <c r="U1" s="1348"/>
      <c r="V1" s="1348"/>
      <c r="W1" s="1348"/>
      <c r="X1" s="1348"/>
      <c r="Y1" s="1348"/>
      <c r="Z1" s="1348"/>
      <c r="AA1" s="1348"/>
      <c r="AB1" s="1348"/>
      <c r="AC1" s="1348"/>
      <c r="AD1" s="1348"/>
      <c r="AE1" s="1348"/>
      <c r="AF1" s="1348"/>
      <c r="AG1" s="1348"/>
      <c r="AH1" s="1348"/>
      <c r="AI1" s="1348"/>
      <c r="AJ1" s="1348"/>
      <c r="AK1" s="1348"/>
      <c r="AL1" s="1348"/>
      <c r="AM1" s="1348"/>
      <c r="AN1" s="1348"/>
      <c r="AO1" s="1348"/>
      <c r="AP1" s="1348"/>
      <c r="AQ1" s="1348"/>
      <c r="AR1" s="1348"/>
      <c r="AS1" s="1348"/>
      <c r="AT1" s="1348"/>
      <c r="AU1" s="1348"/>
      <c r="AV1" s="1348"/>
      <c r="AW1" s="1348"/>
      <c r="AX1" s="1348"/>
      <c r="AY1" s="1348"/>
      <c r="AZ1" s="1348"/>
      <c r="BA1" s="1348"/>
      <c r="BB1" s="1348"/>
      <c r="BC1" s="1348"/>
      <c r="BD1" s="1348"/>
      <c r="BE1" s="1348"/>
      <c r="BF1" s="1348"/>
      <c r="BG1" s="1348"/>
      <c r="BH1" s="1348"/>
      <c r="BI1" s="1348"/>
      <c r="BJ1" s="1348"/>
      <c r="BK1" s="1348"/>
      <c r="BL1" s="1348"/>
      <c r="BM1" s="1348"/>
      <c r="BN1" s="1348"/>
      <c r="BO1" s="1348"/>
      <c r="BP1" s="1348"/>
      <c r="BQ1" s="1348"/>
      <c r="BR1" s="1348"/>
      <c r="BS1" s="1348"/>
      <c r="BT1" s="1348"/>
      <c r="BU1" s="1348"/>
      <c r="BV1" s="1348"/>
      <c r="BW1" s="1348"/>
      <c r="BX1" s="1348"/>
      <c r="BY1" s="1348"/>
      <c r="BZ1" s="1348"/>
      <c r="CA1" s="1348"/>
      <c r="CB1" s="1348"/>
      <c r="CC1" s="1348"/>
      <c r="CD1" s="1348"/>
      <c r="CE1" s="1348"/>
      <c r="CF1" s="1348"/>
      <c r="CG1" s="1348"/>
      <c r="CH1" s="1348"/>
      <c r="CI1" s="1348"/>
      <c r="CJ1" s="1348"/>
      <c r="CK1" s="1348"/>
      <c r="CL1" s="1348"/>
      <c r="CM1" s="1348"/>
      <c r="CN1" s="1348"/>
      <c r="CO1" s="1348"/>
      <c r="CP1" s="1348"/>
      <c r="CQ1" s="1348"/>
      <c r="CR1" s="1348"/>
      <c r="CS1" s="1348"/>
      <c r="CT1" s="1348"/>
      <c r="CU1" s="1348"/>
      <c r="CV1" s="1348"/>
      <c r="CW1" s="1348"/>
      <c r="CX1" s="1348"/>
      <c r="CY1" s="1348"/>
      <c r="CZ1" s="1348"/>
      <c r="DA1" s="1348"/>
      <c r="DB1" s="1348"/>
      <c r="DC1" s="1348"/>
      <c r="DD1" s="1348"/>
      <c r="DE1" s="1348"/>
      <c r="DF1" s="1348"/>
      <c r="DG1" s="1348"/>
      <c r="DH1" s="1348"/>
      <c r="DI1" s="1348"/>
      <c r="DJ1" s="1348"/>
      <c r="DK1" s="1348"/>
      <c r="DL1" s="1348"/>
      <c r="DM1" s="1348"/>
      <c r="DN1" s="1348"/>
      <c r="DO1" s="1348"/>
      <c r="DP1" s="1348"/>
      <c r="DQ1" s="1348"/>
      <c r="DR1" s="1348"/>
      <c r="DS1" s="1348"/>
      <c r="DT1" s="1348"/>
      <c r="DU1" s="1348"/>
      <c r="DV1" s="1348"/>
      <c r="DW1" s="1348"/>
      <c r="DX1" s="1348"/>
      <c r="DY1" s="1348"/>
      <c r="DZ1" s="1348"/>
      <c r="EA1" s="1348"/>
      <c r="EB1" s="1348"/>
      <c r="EC1" s="1348"/>
      <c r="ED1" s="1348"/>
      <c r="EE1" s="1348"/>
      <c r="EF1" s="1348"/>
      <c r="EG1" s="1348"/>
      <c r="EH1" s="1348"/>
      <c r="EI1" s="1348"/>
      <c r="EJ1" s="1348"/>
      <c r="EK1" s="1348"/>
      <c r="EL1" s="1348"/>
      <c r="EM1" s="1348"/>
      <c r="EN1" s="1348"/>
      <c r="EO1" s="1348"/>
      <c r="EP1" s="1348"/>
      <c r="EQ1" s="1348"/>
      <c r="ER1" s="1348"/>
      <c r="ES1" s="1348"/>
      <c r="ET1" s="1348"/>
      <c r="EU1" s="1348"/>
      <c r="EV1" s="1348"/>
      <c r="EW1" s="1348"/>
      <c r="EX1" s="1348"/>
      <c r="EY1" s="1348"/>
      <c r="EZ1" s="1348"/>
      <c r="FA1" s="1348"/>
      <c r="FB1" s="1348"/>
      <c r="FC1" s="1348"/>
      <c r="FD1" s="1348"/>
      <c r="FE1" s="1348"/>
      <c r="FF1" s="1348"/>
      <c r="FG1" s="1348"/>
      <c r="FH1" s="1348"/>
      <c r="FI1" s="1348"/>
      <c r="FJ1" s="1348"/>
      <c r="FK1" s="1348"/>
      <c r="FL1" s="1348"/>
      <c r="FM1" s="1348"/>
      <c r="FN1" s="1348"/>
      <c r="FO1" s="1348"/>
      <c r="FP1" s="1348"/>
      <c r="FQ1" s="1348"/>
      <c r="FR1" s="1348"/>
      <c r="FS1" s="1348"/>
      <c r="FT1" s="1348"/>
      <c r="FU1" s="1348"/>
      <c r="FV1" s="1348"/>
      <c r="FW1" s="1348"/>
      <c r="FX1" s="1348"/>
      <c r="FY1" s="1348"/>
      <c r="FZ1" s="1348"/>
      <c r="GA1" s="1348"/>
      <c r="GB1" s="1348"/>
      <c r="GC1" s="1348"/>
      <c r="GD1" s="1348"/>
      <c r="GE1" s="1348"/>
      <c r="GF1" s="1348"/>
      <c r="GG1" s="1348"/>
      <c r="GH1" s="1348"/>
      <c r="GI1" s="1348"/>
      <c r="GJ1" s="1348"/>
      <c r="GK1" s="1348"/>
      <c r="GL1" s="1348"/>
      <c r="GM1" s="1348"/>
      <c r="GN1" s="1348"/>
      <c r="GO1" s="1348"/>
      <c r="GP1" s="1348"/>
      <c r="GQ1" s="1348"/>
      <c r="GR1" s="1348"/>
      <c r="GS1" s="1348"/>
      <c r="GT1" s="1348"/>
      <c r="GU1" s="1348"/>
      <c r="GV1" s="1348"/>
      <c r="GW1" s="1348"/>
      <c r="GX1" s="1348"/>
      <c r="GY1" s="1348"/>
      <c r="GZ1" s="1348"/>
      <c r="HA1" s="1348"/>
      <c r="HB1" s="1348"/>
      <c r="HC1" s="1348"/>
      <c r="HD1" s="1348"/>
      <c r="HE1" s="1348"/>
      <c r="HF1" s="1348"/>
      <c r="HG1" s="1348"/>
      <c r="HH1" s="1348"/>
      <c r="HI1" s="1348"/>
      <c r="HJ1" s="1348"/>
      <c r="HK1" s="1348"/>
      <c r="HL1" s="1348"/>
      <c r="HM1" s="1348"/>
      <c r="HN1" s="1348"/>
      <c r="HO1" s="1348"/>
      <c r="HP1" s="1348"/>
      <c r="HQ1" s="1348"/>
      <c r="HR1" s="1348"/>
      <c r="HS1" s="1348"/>
      <c r="HT1" s="1348"/>
      <c r="HU1" s="1348"/>
      <c r="HV1" s="1348"/>
      <c r="HW1" s="1348"/>
      <c r="HX1" s="1348"/>
      <c r="HY1" s="1348"/>
      <c r="HZ1" s="1348"/>
    </row>
    <row r="2" spans="1:234" s="1341" customFormat="1" ht="18.75">
      <c r="B2" s="1342" t="s">
        <v>842</v>
      </c>
      <c r="C2" s="1343"/>
      <c r="D2" s="1344"/>
      <c r="E2" s="1345"/>
      <c r="F2" s="1346"/>
      <c r="G2" s="1347"/>
      <c r="H2" s="1348"/>
      <c r="I2" s="1348"/>
      <c r="J2" s="1348"/>
      <c r="K2" s="1348"/>
      <c r="L2" s="1348"/>
      <c r="M2" s="1348"/>
      <c r="N2" s="1348"/>
      <c r="O2" s="1348"/>
      <c r="P2" s="1348"/>
      <c r="Q2" s="1348"/>
      <c r="R2" s="1348"/>
      <c r="S2" s="1348"/>
      <c r="T2" s="1348"/>
      <c r="U2" s="1348"/>
      <c r="V2" s="1348"/>
      <c r="W2" s="1348"/>
      <c r="X2" s="1348"/>
      <c r="Y2" s="1348"/>
      <c r="Z2" s="1348"/>
      <c r="AA2" s="1348"/>
      <c r="AB2" s="1348"/>
      <c r="AC2" s="1348"/>
      <c r="AD2" s="1348"/>
      <c r="AE2" s="1348"/>
      <c r="AF2" s="1348"/>
      <c r="AG2" s="1348"/>
      <c r="AH2" s="1348"/>
      <c r="AI2" s="1348"/>
      <c r="AJ2" s="1348"/>
      <c r="AK2" s="1348"/>
      <c r="AL2" s="1348"/>
      <c r="AM2" s="1348"/>
      <c r="AN2" s="1348"/>
      <c r="AO2" s="1348"/>
      <c r="AP2" s="1348"/>
      <c r="AQ2" s="1348"/>
      <c r="AR2" s="1348"/>
      <c r="AS2" s="1348"/>
      <c r="AT2" s="1348"/>
      <c r="AU2" s="1348"/>
      <c r="AV2" s="1348"/>
      <c r="AW2" s="1348"/>
      <c r="AX2" s="1348"/>
      <c r="AY2" s="1348"/>
      <c r="AZ2" s="1348"/>
      <c r="BA2" s="1348"/>
      <c r="BB2" s="1348"/>
      <c r="BC2" s="1348"/>
      <c r="BD2" s="1348"/>
      <c r="BE2" s="1348"/>
      <c r="BF2" s="1348"/>
      <c r="BG2" s="1348"/>
      <c r="BH2" s="1348"/>
      <c r="BI2" s="1348"/>
      <c r="BJ2" s="1348"/>
      <c r="BK2" s="1348"/>
      <c r="BL2" s="1348"/>
      <c r="BM2" s="1348"/>
      <c r="BN2" s="1348"/>
      <c r="BO2" s="1348"/>
      <c r="BP2" s="1348"/>
      <c r="BQ2" s="1348"/>
      <c r="BR2" s="1348"/>
      <c r="BS2" s="1348"/>
      <c r="BT2" s="1348"/>
      <c r="BU2" s="1348"/>
      <c r="BV2" s="1348"/>
      <c r="BW2" s="1348"/>
      <c r="BX2" s="1348"/>
      <c r="BY2" s="1348"/>
      <c r="BZ2" s="1348"/>
      <c r="CA2" s="1348"/>
      <c r="CB2" s="1348"/>
      <c r="CC2" s="1348"/>
      <c r="CD2" s="1348"/>
      <c r="CE2" s="1348"/>
      <c r="CF2" s="1348"/>
      <c r="CG2" s="1348"/>
      <c r="CH2" s="1348"/>
      <c r="CI2" s="1348"/>
      <c r="CJ2" s="1348"/>
      <c r="CK2" s="1348"/>
      <c r="CL2" s="1348"/>
      <c r="CM2" s="1348"/>
      <c r="CN2" s="1348"/>
      <c r="CO2" s="1348"/>
      <c r="CP2" s="1348"/>
      <c r="CQ2" s="1348"/>
      <c r="CR2" s="1348"/>
      <c r="CS2" s="1348"/>
      <c r="CT2" s="1348"/>
      <c r="CU2" s="1348"/>
      <c r="CV2" s="1348"/>
      <c r="CW2" s="1348"/>
      <c r="CX2" s="1348"/>
      <c r="CY2" s="1348"/>
      <c r="CZ2" s="1348"/>
      <c r="DA2" s="1348"/>
      <c r="DB2" s="1348"/>
      <c r="DC2" s="1348"/>
      <c r="DD2" s="1348"/>
      <c r="DE2" s="1348"/>
      <c r="DF2" s="1348"/>
      <c r="DG2" s="1348"/>
      <c r="DH2" s="1348"/>
      <c r="DI2" s="1348"/>
      <c r="DJ2" s="1348"/>
      <c r="DK2" s="1348"/>
      <c r="DL2" s="1348"/>
      <c r="DM2" s="1348"/>
      <c r="DN2" s="1348"/>
      <c r="DO2" s="1348"/>
      <c r="DP2" s="1348"/>
      <c r="DQ2" s="1348"/>
      <c r="DR2" s="1348"/>
      <c r="DS2" s="1348"/>
      <c r="DT2" s="1348"/>
      <c r="DU2" s="1348"/>
      <c r="DV2" s="1348"/>
      <c r="DW2" s="1348"/>
      <c r="DX2" s="1348"/>
      <c r="DY2" s="1348"/>
      <c r="DZ2" s="1348"/>
      <c r="EA2" s="1348"/>
      <c r="EB2" s="1348"/>
      <c r="EC2" s="1348"/>
      <c r="ED2" s="1348"/>
      <c r="EE2" s="1348"/>
      <c r="EF2" s="1348"/>
      <c r="EG2" s="1348"/>
      <c r="EH2" s="1348"/>
      <c r="EI2" s="1348"/>
      <c r="EJ2" s="1348"/>
      <c r="EK2" s="1348"/>
      <c r="EL2" s="1348"/>
      <c r="EM2" s="1348"/>
      <c r="EN2" s="1348"/>
      <c r="EO2" s="1348"/>
      <c r="EP2" s="1348"/>
      <c r="EQ2" s="1348"/>
      <c r="ER2" s="1348"/>
      <c r="ES2" s="1348"/>
      <c r="ET2" s="1348"/>
      <c r="EU2" s="1348"/>
      <c r="EV2" s="1348"/>
      <c r="EW2" s="1348"/>
      <c r="EX2" s="1348"/>
      <c r="EY2" s="1348"/>
      <c r="EZ2" s="1348"/>
      <c r="FA2" s="1348"/>
      <c r="FB2" s="1348"/>
      <c r="FC2" s="1348"/>
      <c r="FD2" s="1348"/>
      <c r="FE2" s="1348"/>
      <c r="FF2" s="1348"/>
      <c r="FG2" s="1348"/>
      <c r="FH2" s="1348"/>
      <c r="FI2" s="1348"/>
      <c r="FJ2" s="1348"/>
      <c r="FK2" s="1348"/>
      <c r="FL2" s="1348"/>
      <c r="FM2" s="1348"/>
      <c r="FN2" s="1348"/>
      <c r="FO2" s="1348"/>
      <c r="FP2" s="1348"/>
      <c r="FQ2" s="1348"/>
      <c r="FR2" s="1348"/>
      <c r="FS2" s="1348"/>
      <c r="FT2" s="1348"/>
      <c r="FU2" s="1348"/>
      <c r="FV2" s="1348"/>
      <c r="FW2" s="1348"/>
      <c r="FX2" s="1348"/>
      <c r="FY2" s="1348"/>
      <c r="FZ2" s="1348"/>
      <c r="GA2" s="1348"/>
      <c r="GB2" s="1348"/>
      <c r="GC2" s="1348"/>
      <c r="GD2" s="1348"/>
      <c r="GE2" s="1348"/>
      <c r="GF2" s="1348"/>
      <c r="GG2" s="1348"/>
      <c r="GH2" s="1348"/>
      <c r="GI2" s="1348"/>
      <c r="GJ2" s="1348"/>
      <c r="GK2" s="1348"/>
      <c r="GL2" s="1348"/>
      <c r="GM2" s="1348"/>
      <c r="GN2" s="1348"/>
      <c r="GO2" s="1348"/>
      <c r="GP2" s="1348"/>
      <c r="GQ2" s="1348"/>
      <c r="GR2" s="1348"/>
      <c r="GS2" s="1348"/>
      <c r="GT2" s="1348"/>
      <c r="GU2" s="1348"/>
      <c r="GV2" s="1348"/>
      <c r="GW2" s="1348"/>
      <c r="GX2" s="1348"/>
      <c r="GY2" s="1348"/>
      <c r="GZ2" s="1348"/>
      <c r="HA2" s="1348"/>
      <c r="HB2" s="1348"/>
      <c r="HC2" s="1348"/>
      <c r="HD2" s="1348"/>
      <c r="HE2" s="1348"/>
      <c r="HF2" s="1348"/>
      <c r="HG2" s="1348"/>
      <c r="HH2" s="1348"/>
      <c r="HI2" s="1348"/>
      <c r="HJ2" s="1348"/>
      <c r="HK2" s="1348"/>
      <c r="HL2" s="1348"/>
      <c r="HM2" s="1348"/>
      <c r="HN2" s="1348"/>
      <c r="HO2" s="1348"/>
      <c r="HP2" s="1348"/>
      <c r="HQ2" s="1348"/>
      <c r="HR2" s="1348"/>
      <c r="HS2" s="1348"/>
      <c r="HT2" s="1348"/>
      <c r="HU2" s="1348"/>
      <c r="HV2" s="1348"/>
      <c r="HW2" s="1348"/>
      <c r="HX2" s="1348"/>
      <c r="HY2" s="1348"/>
      <c r="HZ2" s="1348"/>
    </row>
    <row r="3" spans="1:234" s="1341" customFormat="1" ht="15.75">
      <c r="A3" s="1349"/>
      <c r="B3" s="1350"/>
      <c r="C3" s="1351"/>
      <c r="D3" s="1344"/>
      <c r="E3" s="1345"/>
      <c r="F3" s="1346"/>
      <c r="G3" s="1347"/>
      <c r="H3" s="1348"/>
      <c r="I3" s="1348"/>
      <c r="J3" s="1348"/>
      <c r="K3" s="1348"/>
      <c r="L3" s="1348"/>
      <c r="M3" s="1348"/>
      <c r="N3" s="1348"/>
      <c r="O3" s="1348"/>
      <c r="P3" s="1348"/>
      <c r="Q3" s="1348"/>
      <c r="R3" s="1348"/>
      <c r="S3" s="1348"/>
      <c r="T3" s="1348"/>
      <c r="U3" s="1348"/>
      <c r="V3" s="1348"/>
      <c r="W3" s="1348"/>
      <c r="X3" s="1348"/>
      <c r="Y3" s="1348"/>
      <c r="Z3" s="1348"/>
      <c r="AA3" s="1348"/>
      <c r="AB3" s="1348"/>
      <c r="AC3" s="1348"/>
      <c r="AD3" s="1348"/>
      <c r="AE3" s="1348"/>
      <c r="AF3" s="1348"/>
      <c r="AG3" s="1348"/>
      <c r="AH3" s="1348"/>
      <c r="AI3" s="1348"/>
      <c r="AJ3" s="1348"/>
      <c r="AK3" s="1348"/>
      <c r="AL3" s="1348"/>
      <c r="AM3" s="1348"/>
      <c r="AN3" s="1348"/>
      <c r="AO3" s="1348"/>
      <c r="AP3" s="1348"/>
      <c r="AQ3" s="1348"/>
      <c r="AR3" s="1348"/>
      <c r="AS3" s="1348"/>
      <c r="AT3" s="1348"/>
      <c r="AU3" s="1348"/>
      <c r="AV3" s="1348"/>
      <c r="AW3" s="1348"/>
      <c r="AX3" s="1348"/>
      <c r="AY3" s="1348"/>
      <c r="AZ3" s="1348"/>
      <c r="BA3" s="1348"/>
      <c r="BB3" s="1348"/>
      <c r="BC3" s="1348"/>
      <c r="BD3" s="1348"/>
      <c r="BE3" s="1348"/>
      <c r="BF3" s="1348"/>
      <c r="BG3" s="1348"/>
      <c r="BH3" s="1348"/>
      <c r="BI3" s="1348"/>
      <c r="BJ3" s="1348"/>
      <c r="BK3" s="1348"/>
      <c r="BL3" s="1348"/>
      <c r="BM3" s="1348"/>
      <c r="BN3" s="1348"/>
      <c r="BO3" s="1348"/>
      <c r="BP3" s="1348"/>
      <c r="BQ3" s="1348"/>
      <c r="BR3" s="1348"/>
      <c r="BS3" s="1348"/>
      <c r="BT3" s="1348"/>
      <c r="BU3" s="1348"/>
      <c r="BV3" s="1348"/>
      <c r="BW3" s="1348"/>
      <c r="BX3" s="1348"/>
      <c r="BY3" s="1348"/>
      <c r="BZ3" s="1348"/>
      <c r="CA3" s="1348"/>
      <c r="CB3" s="1348"/>
      <c r="CC3" s="1348"/>
      <c r="CD3" s="1348"/>
      <c r="CE3" s="1348"/>
      <c r="CF3" s="1348"/>
      <c r="CG3" s="1348"/>
      <c r="CH3" s="1348"/>
      <c r="CI3" s="1348"/>
      <c r="CJ3" s="1348"/>
      <c r="CK3" s="1348"/>
      <c r="CL3" s="1348"/>
      <c r="CM3" s="1348"/>
      <c r="CN3" s="1348"/>
      <c r="CO3" s="1348"/>
      <c r="CP3" s="1348"/>
      <c r="CQ3" s="1348"/>
      <c r="CR3" s="1348"/>
      <c r="CS3" s="1348"/>
      <c r="CT3" s="1348"/>
      <c r="CU3" s="1348"/>
      <c r="CV3" s="1348"/>
      <c r="CW3" s="1348"/>
      <c r="CX3" s="1348"/>
      <c r="CY3" s="1348"/>
      <c r="CZ3" s="1348"/>
      <c r="DA3" s="1348"/>
      <c r="DB3" s="1348"/>
      <c r="DC3" s="1348"/>
      <c r="DD3" s="1348"/>
      <c r="DE3" s="1348"/>
      <c r="DF3" s="1348"/>
      <c r="DG3" s="1348"/>
      <c r="DH3" s="1348"/>
      <c r="DI3" s="1348"/>
      <c r="DJ3" s="1348"/>
      <c r="DK3" s="1348"/>
      <c r="DL3" s="1348"/>
      <c r="DM3" s="1348"/>
      <c r="DN3" s="1348"/>
      <c r="DO3" s="1348"/>
      <c r="DP3" s="1348"/>
      <c r="DQ3" s="1348"/>
      <c r="DR3" s="1348"/>
      <c r="DS3" s="1348"/>
      <c r="DT3" s="1348"/>
      <c r="DU3" s="1348"/>
      <c r="DV3" s="1348"/>
      <c r="DW3" s="1348"/>
      <c r="DX3" s="1348"/>
      <c r="DY3" s="1348"/>
      <c r="DZ3" s="1348"/>
      <c r="EA3" s="1348"/>
      <c r="EB3" s="1348"/>
      <c r="EC3" s="1348"/>
      <c r="ED3" s="1348"/>
      <c r="EE3" s="1348"/>
      <c r="EF3" s="1348"/>
      <c r="EG3" s="1348"/>
      <c r="EH3" s="1348"/>
      <c r="EI3" s="1348"/>
      <c r="EJ3" s="1348"/>
      <c r="EK3" s="1348"/>
      <c r="EL3" s="1348"/>
      <c r="EM3" s="1348"/>
      <c r="EN3" s="1348"/>
      <c r="EO3" s="1348"/>
      <c r="EP3" s="1348"/>
      <c r="EQ3" s="1348"/>
      <c r="ER3" s="1348"/>
      <c r="ES3" s="1348"/>
      <c r="ET3" s="1348"/>
      <c r="EU3" s="1348"/>
      <c r="EV3" s="1348"/>
      <c r="EW3" s="1348"/>
      <c r="EX3" s="1348"/>
      <c r="EY3" s="1348"/>
      <c r="EZ3" s="1348"/>
      <c r="FA3" s="1348"/>
      <c r="FB3" s="1348"/>
      <c r="FC3" s="1348"/>
      <c r="FD3" s="1348"/>
      <c r="FE3" s="1348"/>
      <c r="FF3" s="1348"/>
      <c r="FG3" s="1348"/>
      <c r="FH3" s="1348"/>
      <c r="FI3" s="1348"/>
      <c r="FJ3" s="1348"/>
      <c r="FK3" s="1348"/>
      <c r="FL3" s="1348"/>
      <c r="FM3" s="1348"/>
      <c r="FN3" s="1348"/>
      <c r="FO3" s="1348"/>
      <c r="FP3" s="1348"/>
      <c r="FQ3" s="1348"/>
      <c r="FR3" s="1348"/>
      <c r="FS3" s="1348"/>
      <c r="FT3" s="1348"/>
      <c r="FU3" s="1348"/>
      <c r="FV3" s="1348"/>
      <c r="FW3" s="1348"/>
      <c r="FX3" s="1348"/>
      <c r="FY3" s="1348"/>
      <c r="FZ3" s="1348"/>
      <c r="GA3" s="1348"/>
      <c r="GB3" s="1348"/>
      <c r="GC3" s="1348"/>
      <c r="GD3" s="1348"/>
      <c r="GE3" s="1348"/>
      <c r="GF3" s="1348"/>
      <c r="GG3" s="1348"/>
      <c r="GH3" s="1348"/>
      <c r="GI3" s="1348"/>
      <c r="GJ3" s="1348"/>
      <c r="GK3" s="1348"/>
      <c r="GL3" s="1348"/>
      <c r="GM3" s="1348"/>
      <c r="GN3" s="1348"/>
      <c r="GO3" s="1348"/>
      <c r="GP3" s="1348"/>
      <c r="GQ3" s="1348"/>
      <c r="GR3" s="1348"/>
      <c r="GS3" s="1348"/>
      <c r="GT3" s="1348"/>
      <c r="GU3" s="1348"/>
      <c r="GV3" s="1348"/>
      <c r="GW3" s="1348"/>
      <c r="GX3" s="1348"/>
      <c r="GY3" s="1348"/>
      <c r="GZ3" s="1348"/>
      <c r="HA3" s="1348"/>
      <c r="HB3" s="1348"/>
      <c r="HC3" s="1348"/>
      <c r="HD3" s="1348"/>
      <c r="HE3" s="1348"/>
      <c r="HF3" s="1348"/>
      <c r="HG3" s="1348"/>
      <c r="HH3" s="1348"/>
      <c r="HI3" s="1348"/>
      <c r="HJ3" s="1348"/>
      <c r="HK3" s="1348"/>
      <c r="HL3" s="1348"/>
      <c r="HM3" s="1348"/>
      <c r="HN3" s="1348"/>
      <c r="HO3" s="1348"/>
      <c r="HP3" s="1348"/>
      <c r="HQ3" s="1348"/>
      <c r="HR3" s="1348"/>
      <c r="HS3" s="1348"/>
      <c r="HT3" s="1348"/>
      <c r="HU3" s="1348"/>
      <c r="HV3" s="1348"/>
      <c r="HW3" s="1348"/>
      <c r="HX3" s="1348"/>
      <c r="HY3" s="1348"/>
      <c r="HZ3" s="1348"/>
    </row>
    <row r="4" spans="1:234" s="1341" customFormat="1" ht="15.75">
      <c r="A4" s="1349"/>
      <c r="B4" s="1352"/>
      <c r="C4" s="1351"/>
      <c r="D4" s="1344"/>
      <c r="E4" s="1345"/>
      <c r="F4" s="1346"/>
      <c r="G4" s="1347"/>
      <c r="H4" s="1348"/>
      <c r="I4" s="1348"/>
      <c r="J4" s="1348"/>
      <c r="K4" s="1348"/>
      <c r="L4" s="1348"/>
      <c r="M4" s="1348"/>
      <c r="N4" s="1348"/>
      <c r="O4" s="1348"/>
      <c r="P4" s="1348"/>
      <c r="Q4" s="1348"/>
      <c r="R4" s="1348"/>
      <c r="S4" s="1348"/>
      <c r="T4" s="1348"/>
      <c r="U4" s="1348"/>
      <c r="V4" s="1348"/>
      <c r="W4" s="1348"/>
      <c r="X4" s="1348"/>
      <c r="Y4" s="1348"/>
      <c r="Z4" s="1348"/>
      <c r="AA4" s="1348"/>
      <c r="AB4" s="1348"/>
      <c r="AC4" s="1348"/>
      <c r="AD4" s="1348"/>
      <c r="AE4" s="1348"/>
      <c r="AF4" s="1348"/>
      <c r="AG4" s="1348"/>
      <c r="AH4" s="1348"/>
      <c r="AI4" s="1348"/>
      <c r="AJ4" s="1348"/>
      <c r="AK4" s="1348"/>
      <c r="AL4" s="1348"/>
      <c r="AM4" s="1348"/>
      <c r="AN4" s="1348"/>
      <c r="AO4" s="1348"/>
      <c r="AP4" s="1348"/>
      <c r="AQ4" s="1348"/>
      <c r="AR4" s="1348"/>
      <c r="AS4" s="1348"/>
      <c r="AT4" s="1348"/>
      <c r="AU4" s="1348"/>
      <c r="AV4" s="1348"/>
      <c r="AW4" s="1348"/>
      <c r="AX4" s="1348"/>
      <c r="AY4" s="1348"/>
      <c r="AZ4" s="1348"/>
      <c r="BA4" s="1348"/>
      <c r="BB4" s="1348"/>
      <c r="BC4" s="1348"/>
      <c r="BD4" s="1348"/>
      <c r="BE4" s="1348"/>
      <c r="BF4" s="1348"/>
      <c r="BG4" s="1348"/>
      <c r="BH4" s="1348"/>
      <c r="BI4" s="1348"/>
      <c r="BJ4" s="1348"/>
      <c r="BK4" s="1348"/>
      <c r="BL4" s="1348"/>
      <c r="BM4" s="1348"/>
      <c r="BN4" s="1348"/>
      <c r="BO4" s="1348"/>
      <c r="BP4" s="1348"/>
      <c r="BQ4" s="1348"/>
      <c r="BR4" s="1348"/>
      <c r="BS4" s="1348"/>
      <c r="BT4" s="1348"/>
      <c r="BU4" s="1348"/>
      <c r="BV4" s="1348"/>
      <c r="BW4" s="1348"/>
      <c r="BX4" s="1348"/>
      <c r="BY4" s="1348"/>
      <c r="BZ4" s="1348"/>
      <c r="CA4" s="1348"/>
      <c r="CB4" s="1348"/>
      <c r="CC4" s="1348"/>
      <c r="CD4" s="1348"/>
      <c r="CE4" s="1348"/>
      <c r="CF4" s="1348"/>
      <c r="CG4" s="1348"/>
      <c r="CH4" s="1348"/>
      <c r="CI4" s="1348"/>
      <c r="CJ4" s="1348"/>
      <c r="CK4" s="1348"/>
      <c r="CL4" s="1348"/>
      <c r="CM4" s="1348"/>
      <c r="CN4" s="1348"/>
      <c r="CO4" s="1348"/>
      <c r="CP4" s="1348"/>
      <c r="CQ4" s="1348"/>
      <c r="CR4" s="1348"/>
      <c r="CS4" s="1348"/>
      <c r="CT4" s="1348"/>
      <c r="CU4" s="1348"/>
      <c r="CV4" s="1348"/>
      <c r="CW4" s="1348"/>
      <c r="CX4" s="1348"/>
      <c r="CY4" s="1348"/>
      <c r="CZ4" s="1348"/>
      <c r="DA4" s="1348"/>
      <c r="DB4" s="1348"/>
      <c r="DC4" s="1348"/>
      <c r="DD4" s="1348"/>
      <c r="DE4" s="1348"/>
      <c r="DF4" s="1348"/>
      <c r="DG4" s="1348"/>
      <c r="DH4" s="1348"/>
      <c r="DI4" s="1348"/>
      <c r="DJ4" s="1348"/>
      <c r="DK4" s="1348"/>
      <c r="DL4" s="1348"/>
      <c r="DM4" s="1348"/>
      <c r="DN4" s="1348"/>
      <c r="DO4" s="1348"/>
      <c r="DP4" s="1348"/>
      <c r="DQ4" s="1348"/>
      <c r="DR4" s="1348"/>
      <c r="DS4" s="1348"/>
      <c r="DT4" s="1348"/>
      <c r="DU4" s="1348"/>
      <c r="DV4" s="1348"/>
      <c r="DW4" s="1348"/>
      <c r="DX4" s="1348"/>
      <c r="DY4" s="1348"/>
      <c r="DZ4" s="1348"/>
      <c r="EA4" s="1348"/>
      <c r="EB4" s="1348"/>
      <c r="EC4" s="1348"/>
      <c r="ED4" s="1348"/>
      <c r="EE4" s="1348"/>
      <c r="EF4" s="1348"/>
      <c r="EG4" s="1348"/>
      <c r="EH4" s="1348"/>
      <c r="EI4" s="1348"/>
      <c r="EJ4" s="1348"/>
      <c r="EK4" s="1348"/>
      <c r="EL4" s="1348"/>
      <c r="EM4" s="1348"/>
      <c r="EN4" s="1348"/>
      <c r="EO4" s="1348"/>
      <c r="EP4" s="1348"/>
      <c r="EQ4" s="1348"/>
      <c r="ER4" s="1348"/>
      <c r="ES4" s="1348"/>
      <c r="ET4" s="1348"/>
      <c r="EU4" s="1348"/>
      <c r="EV4" s="1348"/>
      <c r="EW4" s="1348"/>
      <c r="EX4" s="1348"/>
      <c r="EY4" s="1348"/>
      <c r="EZ4" s="1348"/>
      <c r="FA4" s="1348"/>
      <c r="FB4" s="1348"/>
      <c r="FC4" s="1348"/>
      <c r="FD4" s="1348"/>
      <c r="FE4" s="1348"/>
      <c r="FF4" s="1348"/>
      <c r="FG4" s="1348"/>
      <c r="FH4" s="1348"/>
      <c r="FI4" s="1348"/>
      <c r="FJ4" s="1348"/>
      <c r="FK4" s="1348"/>
      <c r="FL4" s="1348"/>
      <c r="FM4" s="1348"/>
      <c r="FN4" s="1348"/>
      <c r="FO4" s="1348"/>
      <c r="FP4" s="1348"/>
      <c r="FQ4" s="1348"/>
      <c r="FR4" s="1348"/>
      <c r="FS4" s="1348"/>
      <c r="FT4" s="1348"/>
      <c r="FU4" s="1348"/>
      <c r="FV4" s="1348"/>
      <c r="FW4" s="1348"/>
      <c r="FX4" s="1348"/>
      <c r="FY4" s="1348"/>
      <c r="FZ4" s="1348"/>
      <c r="GA4" s="1348"/>
      <c r="GB4" s="1348"/>
      <c r="GC4" s="1348"/>
      <c r="GD4" s="1348"/>
      <c r="GE4" s="1348"/>
      <c r="GF4" s="1348"/>
      <c r="GG4" s="1348"/>
      <c r="GH4" s="1348"/>
      <c r="GI4" s="1348"/>
      <c r="GJ4" s="1348"/>
      <c r="GK4" s="1348"/>
      <c r="GL4" s="1348"/>
      <c r="GM4" s="1348"/>
      <c r="GN4" s="1348"/>
      <c r="GO4" s="1348"/>
      <c r="GP4" s="1348"/>
      <c r="GQ4" s="1348"/>
      <c r="GR4" s="1348"/>
      <c r="GS4" s="1348"/>
      <c r="GT4" s="1348"/>
      <c r="GU4" s="1348"/>
      <c r="GV4" s="1348"/>
      <c r="GW4" s="1348"/>
      <c r="GX4" s="1348"/>
      <c r="GY4" s="1348"/>
      <c r="GZ4" s="1348"/>
      <c r="HA4" s="1348"/>
      <c r="HB4" s="1348"/>
      <c r="HC4" s="1348"/>
      <c r="HD4" s="1348"/>
      <c r="HE4" s="1348"/>
      <c r="HF4" s="1348"/>
      <c r="HG4" s="1348"/>
      <c r="HH4" s="1348"/>
      <c r="HI4" s="1348"/>
      <c r="HJ4" s="1348"/>
      <c r="HK4" s="1348"/>
      <c r="HL4" s="1348"/>
      <c r="HM4" s="1348"/>
      <c r="HN4" s="1348"/>
      <c r="HO4" s="1348"/>
      <c r="HP4" s="1348"/>
      <c r="HQ4" s="1348"/>
      <c r="HR4" s="1348"/>
      <c r="HS4" s="1348"/>
      <c r="HT4" s="1348"/>
      <c r="HU4" s="1348"/>
      <c r="HV4" s="1348"/>
      <c r="HW4" s="1348"/>
      <c r="HX4" s="1348"/>
      <c r="HY4" s="1348"/>
      <c r="HZ4" s="1348"/>
    </row>
    <row r="5" spans="1:234" s="1341" customFormat="1" ht="15.75">
      <c r="A5" s="1212"/>
      <c r="B5" s="1353" t="s">
        <v>1118</v>
      </c>
      <c r="C5" s="1354"/>
      <c r="D5" s="1214"/>
      <c r="E5" s="1215"/>
      <c r="F5" s="1216"/>
      <c r="G5" s="1217"/>
      <c r="H5" s="1348"/>
      <c r="I5" s="1348"/>
      <c r="J5" s="1348"/>
      <c r="K5" s="1348"/>
      <c r="L5" s="1348"/>
      <c r="M5" s="1348"/>
      <c r="N5" s="1348"/>
      <c r="O5" s="1348"/>
      <c r="P5" s="1348"/>
      <c r="Q5" s="1348"/>
      <c r="R5" s="1348"/>
      <c r="S5" s="1348"/>
      <c r="T5" s="1348"/>
      <c r="U5" s="1348"/>
      <c r="V5" s="1348"/>
      <c r="W5" s="1348"/>
      <c r="X5" s="1348"/>
      <c r="Y5" s="1348"/>
      <c r="Z5" s="1348"/>
      <c r="AA5" s="1348"/>
      <c r="AB5" s="1348"/>
      <c r="AC5" s="1348"/>
      <c r="AD5" s="1348"/>
      <c r="AE5" s="1348"/>
      <c r="AF5" s="1348"/>
      <c r="AG5" s="1348"/>
      <c r="AH5" s="1348"/>
      <c r="AI5" s="1348"/>
      <c r="AJ5" s="1348"/>
      <c r="AK5" s="1348"/>
      <c r="AL5" s="1348"/>
      <c r="AM5" s="1348"/>
      <c r="AN5" s="1348"/>
      <c r="AO5" s="1348"/>
      <c r="AP5" s="1348"/>
      <c r="AQ5" s="1348"/>
      <c r="AR5" s="1348"/>
      <c r="AS5" s="1348"/>
      <c r="AT5" s="1348"/>
      <c r="AU5" s="1348"/>
      <c r="AV5" s="1348"/>
      <c r="AW5" s="1348"/>
      <c r="AX5" s="1348"/>
      <c r="AY5" s="1348"/>
      <c r="AZ5" s="1348"/>
      <c r="BA5" s="1348"/>
      <c r="BB5" s="1348"/>
      <c r="BC5" s="1348"/>
      <c r="BD5" s="1348"/>
      <c r="BE5" s="1348"/>
      <c r="BF5" s="1348"/>
      <c r="BG5" s="1348"/>
      <c r="BH5" s="1348"/>
      <c r="BI5" s="1348"/>
      <c r="BJ5" s="1348"/>
      <c r="BK5" s="1348"/>
      <c r="BL5" s="1348"/>
      <c r="BM5" s="1348"/>
      <c r="BN5" s="1348"/>
      <c r="BO5" s="1348"/>
      <c r="BP5" s="1348"/>
      <c r="BQ5" s="1348"/>
      <c r="BR5" s="1348"/>
      <c r="BS5" s="1348"/>
      <c r="BT5" s="1348"/>
      <c r="BU5" s="1348"/>
      <c r="BV5" s="1348"/>
      <c r="BW5" s="1348"/>
      <c r="BX5" s="1348"/>
      <c r="BY5" s="1348"/>
      <c r="BZ5" s="1348"/>
      <c r="CA5" s="1348"/>
      <c r="CB5" s="1348"/>
      <c r="CC5" s="1348"/>
      <c r="CD5" s="1348"/>
      <c r="CE5" s="1348"/>
      <c r="CF5" s="1348"/>
      <c r="CG5" s="1348"/>
      <c r="CH5" s="1348"/>
      <c r="CI5" s="1348"/>
      <c r="CJ5" s="1348"/>
      <c r="CK5" s="1348"/>
      <c r="CL5" s="1348"/>
      <c r="CM5" s="1348"/>
      <c r="CN5" s="1348"/>
      <c r="CO5" s="1348"/>
      <c r="CP5" s="1348"/>
      <c r="CQ5" s="1348"/>
      <c r="CR5" s="1348"/>
      <c r="CS5" s="1348"/>
      <c r="CT5" s="1348"/>
      <c r="CU5" s="1348"/>
      <c r="CV5" s="1348"/>
      <c r="CW5" s="1348"/>
      <c r="CX5" s="1348"/>
      <c r="CY5" s="1348"/>
      <c r="CZ5" s="1348"/>
      <c r="DA5" s="1348"/>
      <c r="DB5" s="1348"/>
      <c r="DC5" s="1348"/>
      <c r="DD5" s="1348"/>
      <c r="DE5" s="1348"/>
      <c r="DF5" s="1348"/>
      <c r="DG5" s="1348"/>
      <c r="DH5" s="1348"/>
      <c r="DI5" s="1348"/>
      <c r="DJ5" s="1348"/>
      <c r="DK5" s="1348"/>
      <c r="DL5" s="1348"/>
      <c r="DM5" s="1348"/>
      <c r="DN5" s="1348"/>
      <c r="DO5" s="1348"/>
      <c r="DP5" s="1348"/>
      <c r="DQ5" s="1348"/>
      <c r="DR5" s="1348"/>
      <c r="DS5" s="1348"/>
      <c r="DT5" s="1348"/>
      <c r="DU5" s="1348"/>
      <c r="DV5" s="1348"/>
      <c r="DW5" s="1348"/>
      <c r="DX5" s="1348"/>
      <c r="DY5" s="1348"/>
      <c r="DZ5" s="1348"/>
      <c r="EA5" s="1348"/>
      <c r="EB5" s="1348"/>
      <c r="EC5" s="1348"/>
      <c r="ED5" s="1348"/>
      <c r="EE5" s="1348"/>
      <c r="EF5" s="1348"/>
      <c r="EG5" s="1348"/>
      <c r="EH5" s="1348"/>
      <c r="EI5" s="1348"/>
      <c r="EJ5" s="1348"/>
      <c r="EK5" s="1348"/>
      <c r="EL5" s="1348"/>
      <c r="EM5" s="1348"/>
      <c r="EN5" s="1348"/>
      <c r="EO5" s="1348"/>
      <c r="EP5" s="1348"/>
      <c r="EQ5" s="1348"/>
      <c r="ER5" s="1348"/>
      <c r="ES5" s="1348"/>
      <c r="ET5" s="1348"/>
      <c r="EU5" s="1348"/>
      <c r="EV5" s="1348"/>
      <c r="EW5" s="1348"/>
      <c r="EX5" s="1348"/>
      <c r="EY5" s="1348"/>
      <c r="EZ5" s="1348"/>
      <c r="FA5" s="1348"/>
      <c r="FB5" s="1348"/>
      <c r="FC5" s="1348"/>
      <c r="FD5" s="1348"/>
      <c r="FE5" s="1348"/>
      <c r="FF5" s="1348"/>
      <c r="FG5" s="1348"/>
      <c r="FH5" s="1348"/>
      <c r="FI5" s="1348"/>
      <c r="FJ5" s="1348"/>
      <c r="FK5" s="1348"/>
      <c r="FL5" s="1348"/>
      <c r="FM5" s="1348"/>
      <c r="FN5" s="1348"/>
      <c r="FO5" s="1348"/>
      <c r="FP5" s="1348"/>
      <c r="FQ5" s="1348"/>
      <c r="FR5" s="1348"/>
      <c r="FS5" s="1348"/>
      <c r="FT5" s="1348"/>
      <c r="FU5" s="1348"/>
      <c r="FV5" s="1348"/>
      <c r="FW5" s="1348"/>
      <c r="FX5" s="1348"/>
      <c r="FY5" s="1348"/>
      <c r="FZ5" s="1348"/>
      <c r="GA5" s="1348"/>
      <c r="GB5" s="1348"/>
      <c r="GC5" s="1348"/>
      <c r="GD5" s="1348"/>
      <c r="GE5" s="1348"/>
      <c r="GF5" s="1348"/>
      <c r="GG5" s="1348"/>
      <c r="GH5" s="1348"/>
      <c r="GI5" s="1348"/>
      <c r="GJ5" s="1348"/>
      <c r="GK5" s="1348"/>
      <c r="GL5" s="1348"/>
      <c r="GM5" s="1348"/>
      <c r="GN5" s="1348"/>
      <c r="GO5" s="1348"/>
      <c r="GP5" s="1348"/>
      <c r="GQ5" s="1348"/>
      <c r="GR5" s="1348"/>
      <c r="GS5" s="1348"/>
      <c r="GT5" s="1348"/>
      <c r="GU5" s="1348"/>
      <c r="GV5" s="1348"/>
      <c r="GW5" s="1348"/>
      <c r="GX5" s="1348"/>
      <c r="GY5" s="1348"/>
      <c r="GZ5" s="1348"/>
      <c r="HA5" s="1348"/>
      <c r="HB5" s="1348"/>
      <c r="HC5" s="1348"/>
      <c r="HD5" s="1348"/>
      <c r="HE5" s="1348"/>
      <c r="HF5" s="1348"/>
      <c r="HG5" s="1348"/>
      <c r="HH5" s="1348"/>
      <c r="HI5" s="1348"/>
      <c r="HJ5" s="1348"/>
      <c r="HK5" s="1348"/>
      <c r="HL5" s="1348"/>
      <c r="HM5" s="1348"/>
      <c r="HN5" s="1348"/>
      <c r="HO5" s="1348"/>
      <c r="HP5" s="1348"/>
      <c r="HQ5" s="1348"/>
      <c r="HR5" s="1348"/>
      <c r="HS5" s="1348"/>
      <c r="HT5" s="1348"/>
      <c r="HU5" s="1348"/>
      <c r="HV5" s="1348"/>
      <c r="HW5" s="1348"/>
      <c r="HX5" s="1348"/>
      <c r="HY5" s="1348"/>
      <c r="HZ5" s="1348"/>
    </row>
    <row r="6" spans="1:234" s="1341" customFormat="1" ht="15.75">
      <c r="A6" s="1349"/>
      <c r="B6" s="1355"/>
      <c r="C6" s="1349"/>
      <c r="D6" s="1349"/>
      <c r="E6" s="1349"/>
      <c r="F6" s="1349"/>
      <c r="G6" s="1349"/>
      <c r="H6" s="1348"/>
      <c r="I6" s="1348"/>
      <c r="J6" s="1348"/>
      <c r="K6" s="1348"/>
      <c r="L6" s="1348"/>
      <c r="M6" s="1348"/>
      <c r="N6" s="1348"/>
      <c r="O6" s="1348"/>
      <c r="P6" s="1348"/>
      <c r="Q6" s="1348"/>
      <c r="R6" s="1348"/>
      <c r="S6" s="1348"/>
      <c r="T6" s="1348"/>
      <c r="U6" s="1348"/>
      <c r="V6" s="1348"/>
      <c r="W6" s="1348"/>
      <c r="X6" s="1348"/>
      <c r="Y6" s="1348"/>
      <c r="Z6" s="1348"/>
      <c r="AA6" s="1348"/>
      <c r="AB6" s="1348"/>
      <c r="AC6" s="1348"/>
      <c r="AD6" s="1348"/>
      <c r="AE6" s="1348"/>
      <c r="AF6" s="1348"/>
      <c r="AG6" s="1348"/>
      <c r="AH6" s="1348"/>
      <c r="AI6" s="1348"/>
      <c r="AJ6" s="1348"/>
      <c r="AK6" s="1348"/>
      <c r="AL6" s="1348"/>
      <c r="AM6" s="1348"/>
      <c r="AN6" s="1348"/>
      <c r="AO6" s="1348"/>
      <c r="AP6" s="1348"/>
      <c r="AQ6" s="1348"/>
      <c r="AR6" s="1348"/>
      <c r="AS6" s="1348"/>
      <c r="AT6" s="1348"/>
      <c r="AU6" s="1348"/>
      <c r="AV6" s="1348"/>
      <c r="AW6" s="1348"/>
      <c r="AX6" s="1348"/>
      <c r="AY6" s="1348"/>
      <c r="AZ6" s="1348"/>
      <c r="BA6" s="1348"/>
      <c r="BB6" s="1348"/>
      <c r="BC6" s="1348"/>
      <c r="BD6" s="1348"/>
      <c r="BE6" s="1348"/>
      <c r="BF6" s="1348"/>
      <c r="BG6" s="1348"/>
      <c r="BH6" s="1348"/>
      <c r="BI6" s="1348"/>
      <c r="BJ6" s="1348"/>
      <c r="BK6" s="1348"/>
      <c r="BL6" s="1348"/>
      <c r="BM6" s="1348"/>
      <c r="BN6" s="1348"/>
      <c r="BO6" s="1348"/>
      <c r="BP6" s="1348"/>
      <c r="BQ6" s="1348"/>
      <c r="BR6" s="1348"/>
      <c r="BS6" s="1348"/>
      <c r="BT6" s="1348"/>
      <c r="BU6" s="1348"/>
      <c r="BV6" s="1348"/>
      <c r="BW6" s="1348"/>
      <c r="BX6" s="1348"/>
      <c r="BY6" s="1348"/>
      <c r="BZ6" s="1348"/>
      <c r="CA6" s="1348"/>
      <c r="CB6" s="1348"/>
      <c r="CC6" s="1348"/>
      <c r="CD6" s="1348"/>
      <c r="CE6" s="1348"/>
      <c r="CF6" s="1348"/>
      <c r="CG6" s="1348"/>
      <c r="CH6" s="1348"/>
      <c r="CI6" s="1348"/>
      <c r="CJ6" s="1348"/>
      <c r="CK6" s="1348"/>
      <c r="CL6" s="1348"/>
      <c r="CM6" s="1348"/>
      <c r="CN6" s="1348"/>
      <c r="CO6" s="1348"/>
      <c r="CP6" s="1348"/>
      <c r="CQ6" s="1348"/>
      <c r="CR6" s="1348"/>
      <c r="CS6" s="1348"/>
      <c r="CT6" s="1348"/>
      <c r="CU6" s="1348"/>
      <c r="CV6" s="1348"/>
      <c r="CW6" s="1348"/>
      <c r="CX6" s="1348"/>
      <c r="CY6" s="1348"/>
      <c r="CZ6" s="1348"/>
      <c r="DA6" s="1348"/>
      <c r="DB6" s="1348"/>
      <c r="DC6" s="1348"/>
      <c r="DD6" s="1348"/>
      <c r="DE6" s="1348"/>
      <c r="DF6" s="1348"/>
      <c r="DG6" s="1348"/>
      <c r="DH6" s="1348"/>
      <c r="DI6" s="1348"/>
      <c r="DJ6" s="1348"/>
      <c r="DK6" s="1348"/>
      <c r="DL6" s="1348"/>
      <c r="DM6" s="1348"/>
      <c r="DN6" s="1348"/>
      <c r="DO6" s="1348"/>
      <c r="DP6" s="1348"/>
      <c r="DQ6" s="1348"/>
      <c r="DR6" s="1348"/>
      <c r="DS6" s="1348"/>
      <c r="DT6" s="1348"/>
      <c r="DU6" s="1348"/>
      <c r="DV6" s="1348"/>
      <c r="DW6" s="1348"/>
      <c r="DX6" s="1348"/>
      <c r="DY6" s="1348"/>
      <c r="DZ6" s="1348"/>
      <c r="EA6" s="1348"/>
      <c r="EB6" s="1348"/>
      <c r="EC6" s="1348"/>
      <c r="ED6" s="1348"/>
      <c r="EE6" s="1348"/>
      <c r="EF6" s="1348"/>
      <c r="EG6" s="1348"/>
      <c r="EH6" s="1348"/>
      <c r="EI6" s="1348"/>
      <c r="EJ6" s="1348"/>
      <c r="EK6" s="1348"/>
      <c r="EL6" s="1348"/>
      <c r="EM6" s="1348"/>
      <c r="EN6" s="1348"/>
      <c r="EO6" s="1348"/>
      <c r="EP6" s="1348"/>
      <c r="EQ6" s="1348"/>
      <c r="ER6" s="1348"/>
      <c r="ES6" s="1348"/>
      <c r="ET6" s="1348"/>
      <c r="EU6" s="1348"/>
      <c r="EV6" s="1348"/>
      <c r="EW6" s="1348"/>
      <c r="EX6" s="1348"/>
      <c r="EY6" s="1348"/>
      <c r="EZ6" s="1348"/>
      <c r="FA6" s="1348"/>
      <c r="FB6" s="1348"/>
      <c r="FC6" s="1348"/>
      <c r="FD6" s="1348"/>
      <c r="FE6" s="1348"/>
      <c r="FF6" s="1348"/>
      <c r="FG6" s="1348"/>
      <c r="FH6" s="1348"/>
      <c r="FI6" s="1348"/>
      <c r="FJ6" s="1348"/>
      <c r="FK6" s="1348"/>
      <c r="FL6" s="1348"/>
      <c r="FM6" s="1348"/>
      <c r="FN6" s="1348"/>
      <c r="FO6" s="1348"/>
      <c r="FP6" s="1348"/>
      <c r="FQ6" s="1348"/>
      <c r="FR6" s="1348"/>
      <c r="FS6" s="1348"/>
      <c r="FT6" s="1348"/>
      <c r="FU6" s="1348"/>
      <c r="FV6" s="1348"/>
      <c r="FW6" s="1348"/>
      <c r="FX6" s="1348"/>
      <c r="FY6" s="1348"/>
      <c r="FZ6" s="1348"/>
      <c r="GA6" s="1348"/>
      <c r="GB6" s="1348"/>
      <c r="GC6" s="1348"/>
      <c r="GD6" s="1348"/>
      <c r="GE6" s="1348"/>
      <c r="GF6" s="1348"/>
      <c r="GG6" s="1348"/>
      <c r="GH6" s="1348"/>
      <c r="GI6" s="1348"/>
      <c r="GJ6" s="1348"/>
      <c r="GK6" s="1348"/>
      <c r="GL6" s="1348"/>
      <c r="GM6" s="1348"/>
      <c r="GN6" s="1348"/>
      <c r="GO6" s="1348"/>
      <c r="GP6" s="1348"/>
      <c r="GQ6" s="1348"/>
      <c r="GR6" s="1348"/>
      <c r="GS6" s="1348"/>
      <c r="GT6" s="1348"/>
      <c r="GU6" s="1348"/>
      <c r="GV6" s="1348"/>
      <c r="GW6" s="1348"/>
      <c r="GX6" s="1348"/>
      <c r="GY6" s="1348"/>
      <c r="GZ6" s="1348"/>
      <c r="HA6" s="1348"/>
      <c r="HB6" s="1348"/>
      <c r="HC6" s="1348"/>
      <c r="HD6" s="1348"/>
      <c r="HE6" s="1348"/>
      <c r="HF6" s="1348"/>
      <c r="HG6" s="1348"/>
      <c r="HH6" s="1348"/>
      <c r="HI6" s="1348"/>
      <c r="HJ6" s="1348"/>
      <c r="HK6" s="1348"/>
      <c r="HL6" s="1348"/>
      <c r="HM6" s="1348"/>
      <c r="HN6" s="1348"/>
      <c r="HO6" s="1348"/>
      <c r="HP6" s="1348"/>
      <c r="HQ6" s="1348"/>
      <c r="HR6" s="1348"/>
      <c r="HS6" s="1348"/>
      <c r="HT6" s="1348"/>
      <c r="HU6" s="1348"/>
      <c r="HV6" s="1348"/>
      <c r="HW6" s="1348"/>
      <c r="HX6" s="1348"/>
      <c r="HY6" s="1348"/>
      <c r="HZ6" s="1348"/>
    </row>
    <row r="7" spans="1:234" s="1356" customFormat="1" ht="39.75" customHeight="1">
      <c r="A7" s="1218" t="s">
        <v>891</v>
      </c>
      <c r="B7" s="1219" t="s">
        <v>892</v>
      </c>
      <c r="C7" s="1220" t="s">
        <v>894</v>
      </c>
      <c r="D7" s="1220" t="s">
        <v>1</v>
      </c>
      <c r="E7" s="1221" t="s">
        <v>893</v>
      </c>
      <c r="F7" s="1221" t="s">
        <v>1234</v>
      </c>
      <c r="G7" s="1221" t="s">
        <v>1233</v>
      </c>
    </row>
    <row r="8" spans="1:234" s="1356" customFormat="1" ht="19.5" customHeight="1">
      <c r="A8" s="1357"/>
      <c r="B8" s="1358"/>
      <c r="C8" s="1359"/>
      <c r="D8" s="1359"/>
      <c r="E8" s="1360"/>
      <c r="F8" s="1360"/>
      <c r="G8" s="1361"/>
    </row>
    <row r="9" spans="1:234" s="1356" customFormat="1" ht="20.25" customHeight="1">
      <c r="A9" s="1362"/>
      <c r="B9" s="1363" t="s">
        <v>1104</v>
      </c>
      <c r="C9" s="1337" t="s">
        <v>1261</v>
      </c>
      <c r="D9" s="1323"/>
      <c r="E9" s="1323"/>
      <c r="F9" s="1323"/>
      <c r="G9" s="1324"/>
    </row>
    <row r="10" spans="1:234" s="1340" customFormat="1" ht="15.75">
      <c r="A10" s="1364"/>
      <c r="B10" s="1365"/>
      <c r="C10" s="1366"/>
      <c r="D10" s="1232"/>
      <c r="E10" s="1232"/>
      <c r="F10" s="1367"/>
      <c r="G10" s="1368"/>
    </row>
    <row r="11" spans="1:234" s="624" customFormat="1" ht="31.5">
      <c r="A11" s="1222">
        <v>1.01</v>
      </c>
      <c r="B11" s="1327" t="s">
        <v>843</v>
      </c>
      <c r="C11" s="1328" t="s">
        <v>1259</v>
      </c>
      <c r="D11" s="1232" t="s">
        <v>176</v>
      </c>
      <c r="E11" s="1233">
        <v>611.20000000000005</v>
      </c>
      <c r="F11" s="821"/>
      <c r="G11" s="243">
        <f t="shared" ref="G11:G26" si="0">E11*F11</f>
        <v>0</v>
      </c>
    </row>
    <row r="12" spans="1:234" s="624" customFormat="1" ht="31.5">
      <c r="A12" s="1222">
        <v>1.02</v>
      </c>
      <c r="B12" s="1327" t="s">
        <v>1136</v>
      </c>
      <c r="C12" s="1328"/>
      <c r="D12" s="1232" t="s">
        <v>898</v>
      </c>
      <c r="E12" s="1233">
        <v>1</v>
      </c>
      <c r="F12" s="821"/>
      <c r="G12" s="243">
        <f t="shared" si="0"/>
        <v>0</v>
      </c>
    </row>
    <row r="13" spans="1:234" s="624" customFormat="1" ht="18.75">
      <c r="A13" s="1222">
        <v>1.06</v>
      </c>
      <c r="B13" s="1327" t="s">
        <v>844</v>
      </c>
      <c r="C13" s="1328" t="s">
        <v>1259</v>
      </c>
      <c r="D13" s="1232" t="s">
        <v>510</v>
      </c>
      <c r="E13" s="1233">
        <v>310</v>
      </c>
      <c r="F13" s="821"/>
      <c r="G13" s="243">
        <f t="shared" si="0"/>
        <v>0</v>
      </c>
    </row>
    <row r="14" spans="1:234" s="624" customFormat="1" ht="15.75">
      <c r="A14" s="1222">
        <v>1.07</v>
      </c>
      <c r="B14" s="1327" t="s">
        <v>845</v>
      </c>
      <c r="C14" s="1328" t="s">
        <v>1259</v>
      </c>
      <c r="D14" s="1232" t="s">
        <v>176</v>
      </c>
      <c r="E14" s="1233">
        <v>545</v>
      </c>
      <c r="F14" s="821"/>
      <c r="G14" s="243">
        <f t="shared" si="0"/>
        <v>0</v>
      </c>
    </row>
    <row r="15" spans="1:234" s="624" customFormat="1" ht="31.5">
      <c r="A15" s="1222">
        <v>1.08</v>
      </c>
      <c r="B15" s="1327" t="s">
        <v>846</v>
      </c>
      <c r="C15" s="1328" t="s">
        <v>1259</v>
      </c>
      <c r="D15" s="1232" t="s">
        <v>510</v>
      </c>
      <c r="E15" s="1233">
        <v>136</v>
      </c>
      <c r="F15" s="821"/>
      <c r="G15" s="243">
        <f t="shared" si="0"/>
        <v>0</v>
      </c>
    </row>
    <row r="16" spans="1:234" s="624" customFormat="1" ht="18.75">
      <c r="A16" s="1222">
        <v>1.0900000000000001</v>
      </c>
      <c r="B16" s="1327" t="s">
        <v>533</v>
      </c>
      <c r="C16" s="1328" t="s">
        <v>1259</v>
      </c>
      <c r="D16" s="1232" t="s">
        <v>510</v>
      </c>
      <c r="E16" s="1233">
        <v>495</v>
      </c>
      <c r="F16" s="821"/>
      <c r="G16" s="243">
        <f t="shared" si="0"/>
        <v>0</v>
      </c>
    </row>
    <row r="17" spans="1:7" s="624" customFormat="1" ht="31.5">
      <c r="A17" s="1222">
        <v>1.1100000000000001</v>
      </c>
      <c r="B17" s="1327" t="s">
        <v>532</v>
      </c>
      <c r="C17" s="1328" t="s">
        <v>1259</v>
      </c>
      <c r="D17" s="1232" t="s">
        <v>176</v>
      </c>
      <c r="E17" s="1232">
        <v>325</v>
      </c>
      <c r="F17" s="821"/>
      <c r="G17" s="243">
        <f t="shared" si="0"/>
        <v>0</v>
      </c>
    </row>
    <row r="18" spans="1:7" s="624" customFormat="1" ht="18.75">
      <c r="A18" s="1222">
        <v>1.1200000000000001</v>
      </c>
      <c r="B18" s="1327" t="s">
        <v>531</v>
      </c>
      <c r="C18" s="1328" t="s">
        <v>1259</v>
      </c>
      <c r="D18" s="1232" t="s">
        <v>510</v>
      </c>
      <c r="E18" s="1232">
        <v>3250</v>
      </c>
      <c r="F18" s="821"/>
      <c r="G18" s="243">
        <f t="shared" si="0"/>
        <v>0</v>
      </c>
    </row>
    <row r="19" spans="1:7" s="624" customFormat="1" ht="31.5">
      <c r="A19" s="1222">
        <v>1.1399999999999999</v>
      </c>
      <c r="B19" s="1327" t="s">
        <v>530</v>
      </c>
      <c r="C19" s="1328" t="s">
        <v>1259</v>
      </c>
      <c r="D19" s="1232" t="s">
        <v>11</v>
      </c>
      <c r="E19" s="1232">
        <v>5</v>
      </c>
      <c r="F19" s="821"/>
      <c r="G19" s="243">
        <f t="shared" si="0"/>
        <v>0</v>
      </c>
    </row>
    <row r="20" spans="1:7" s="624" customFormat="1" ht="15.75">
      <c r="A20" s="1222">
        <v>1.1499999999999999</v>
      </c>
      <c r="B20" s="1327" t="s">
        <v>529</v>
      </c>
      <c r="C20" s="1328" t="s">
        <v>1259</v>
      </c>
      <c r="D20" s="1232" t="s">
        <v>11</v>
      </c>
      <c r="E20" s="1232">
        <v>1</v>
      </c>
      <c r="F20" s="821"/>
      <c r="G20" s="243">
        <f t="shared" si="0"/>
        <v>0</v>
      </c>
    </row>
    <row r="21" spans="1:7" s="624" customFormat="1" ht="31.5">
      <c r="A21" s="1222">
        <v>1.1599999999999999</v>
      </c>
      <c r="B21" s="1327" t="s">
        <v>528</v>
      </c>
      <c r="C21" s="1328" t="s">
        <v>1259</v>
      </c>
      <c r="D21" s="1232" t="s">
        <v>11</v>
      </c>
      <c r="E21" s="1232">
        <v>6</v>
      </c>
      <c r="F21" s="821"/>
      <c r="G21" s="243">
        <f t="shared" si="0"/>
        <v>0</v>
      </c>
    </row>
    <row r="22" spans="1:7" s="624" customFormat="1" ht="18.75">
      <c r="A22" s="1222">
        <v>1.18</v>
      </c>
      <c r="B22" s="1327" t="s">
        <v>527</v>
      </c>
      <c r="C22" s="1328" t="s">
        <v>1259</v>
      </c>
      <c r="D22" s="1232" t="s">
        <v>513</v>
      </c>
      <c r="E22" s="1232">
        <v>600</v>
      </c>
      <c r="F22" s="821"/>
      <c r="G22" s="243">
        <f t="shared" si="0"/>
        <v>0</v>
      </c>
    </row>
    <row r="23" spans="1:7" s="624" customFormat="1" ht="47.25">
      <c r="A23" s="1222">
        <v>1.22</v>
      </c>
      <c r="B23" s="1327" t="s">
        <v>526</v>
      </c>
      <c r="C23" s="1329"/>
      <c r="D23" s="1232" t="s">
        <v>11</v>
      </c>
      <c r="E23" s="1232">
        <v>5</v>
      </c>
      <c r="F23" s="821"/>
      <c r="G23" s="243">
        <f t="shared" si="0"/>
        <v>0</v>
      </c>
    </row>
    <row r="24" spans="1:7" s="624" customFormat="1" ht="47.25">
      <c r="A24" s="1222">
        <v>1.23</v>
      </c>
      <c r="B24" s="1327" t="s">
        <v>525</v>
      </c>
      <c r="C24" s="1329"/>
      <c r="D24" s="1232" t="s">
        <v>11</v>
      </c>
      <c r="E24" s="1232">
        <v>8</v>
      </c>
      <c r="F24" s="821"/>
      <c r="G24" s="243">
        <f t="shared" si="0"/>
        <v>0</v>
      </c>
    </row>
    <row r="25" spans="1:7" s="624" customFormat="1" ht="31.5">
      <c r="A25" s="1222">
        <v>1.24</v>
      </c>
      <c r="B25" s="1327" t="s">
        <v>524</v>
      </c>
      <c r="C25" s="1329"/>
      <c r="D25" s="1232" t="s">
        <v>11</v>
      </c>
      <c r="E25" s="1232">
        <v>10</v>
      </c>
      <c r="F25" s="821"/>
      <c r="G25" s="243">
        <f t="shared" si="0"/>
        <v>0</v>
      </c>
    </row>
    <row r="26" spans="1:7" s="624" customFormat="1" ht="56.25" customHeight="1">
      <c r="A26" s="1222">
        <v>1.25</v>
      </c>
      <c r="B26" s="1327" t="s">
        <v>523</v>
      </c>
      <c r="C26" s="1329"/>
      <c r="D26" s="1232" t="s">
        <v>11</v>
      </c>
      <c r="E26" s="1232">
        <v>5</v>
      </c>
      <c r="F26" s="821"/>
      <c r="G26" s="243">
        <f t="shared" si="0"/>
        <v>0</v>
      </c>
    </row>
    <row r="27" spans="1:7" s="624" customFormat="1" ht="22.5" customHeight="1">
      <c r="A27" s="1222">
        <v>1.26</v>
      </c>
      <c r="B27" s="1330" t="s">
        <v>847</v>
      </c>
      <c r="C27" s="1328" t="s">
        <v>1259</v>
      </c>
      <c r="D27" s="1232" t="s">
        <v>11</v>
      </c>
      <c r="E27" s="1232">
        <v>1</v>
      </c>
      <c r="F27" s="821"/>
      <c r="G27" s="243">
        <f>F27*E27</f>
        <v>0</v>
      </c>
    </row>
    <row r="28" spans="1:7" s="624" customFormat="1" ht="47.25">
      <c r="A28" s="1222">
        <v>1.3</v>
      </c>
      <c r="B28" s="1330" t="s">
        <v>934</v>
      </c>
      <c r="C28" s="1328" t="s">
        <v>1259</v>
      </c>
      <c r="D28" s="1232" t="s">
        <v>898</v>
      </c>
      <c r="E28" s="1232">
        <v>1</v>
      </c>
      <c r="F28" s="821"/>
      <c r="G28" s="243">
        <f>F28*E28</f>
        <v>0</v>
      </c>
    </row>
    <row r="29" spans="1:7" ht="15.75">
      <c r="A29" s="628"/>
      <c r="B29" s="1096" t="s">
        <v>522</v>
      </c>
      <c r="C29" s="629"/>
      <c r="D29" s="628"/>
      <c r="E29" s="630"/>
      <c r="F29" s="631"/>
      <c r="G29" s="632">
        <f>SUM(G11:G28)</f>
        <v>0</v>
      </c>
    </row>
    <row r="30" spans="1:7" s="1340" customFormat="1" ht="15.75">
      <c r="A30" s="625"/>
      <c r="B30" s="1097"/>
      <c r="C30" s="626"/>
      <c r="D30" s="626"/>
      <c r="E30" s="626"/>
      <c r="F30" s="626"/>
      <c r="G30" s="627"/>
    </row>
    <row r="31" spans="1:7" s="1340" customFormat="1" ht="15.75">
      <c r="A31" s="1336"/>
      <c r="B31" s="1240" t="s">
        <v>1103</v>
      </c>
      <c r="C31" s="1337" t="s">
        <v>1261</v>
      </c>
      <c r="D31" s="1323"/>
      <c r="E31" s="1323"/>
      <c r="F31" s="1323"/>
      <c r="G31" s="1324"/>
    </row>
    <row r="32" spans="1:7" s="1340" customFormat="1" ht="15.75">
      <c r="A32" s="1512"/>
      <c r="B32" s="1513"/>
      <c r="C32" s="1513"/>
      <c r="D32" s="1513"/>
      <c r="E32" s="1513"/>
      <c r="F32" s="1513"/>
      <c r="G32" s="1514"/>
    </row>
    <row r="33" spans="1:7" s="624" customFormat="1" ht="18.75">
      <c r="A33" s="1331">
        <v>2.0299999999999998</v>
      </c>
      <c r="B33" s="1332" t="s">
        <v>848</v>
      </c>
      <c r="C33" s="1328" t="s">
        <v>1260</v>
      </c>
      <c r="D33" s="1333" t="s">
        <v>513</v>
      </c>
      <c r="E33" s="1334">
        <v>183.51</v>
      </c>
      <c r="F33" s="821"/>
      <c r="G33" s="243">
        <f t="shared" ref="G33:G38" si="1">E33*F33</f>
        <v>0</v>
      </c>
    </row>
    <row r="34" spans="1:7" s="624" customFormat="1" ht="18.75">
      <c r="A34" s="1331">
        <v>2.0499999999999998</v>
      </c>
      <c r="B34" s="1332" t="s">
        <v>520</v>
      </c>
      <c r="C34" s="1328" t="s">
        <v>1260</v>
      </c>
      <c r="D34" s="1333" t="s">
        <v>510</v>
      </c>
      <c r="E34" s="1334">
        <v>12576</v>
      </c>
      <c r="F34" s="821"/>
      <c r="G34" s="243">
        <f t="shared" si="1"/>
        <v>0</v>
      </c>
    </row>
    <row r="35" spans="1:7" s="624" customFormat="1" ht="48" customHeight="1">
      <c r="A35" s="1331">
        <v>2.06</v>
      </c>
      <c r="B35" s="1332" t="s">
        <v>519</v>
      </c>
      <c r="C35" s="1328" t="s">
        <v>1260</v>
      </c>
      <c r="D35" s="1333" t="s">
        <v>513</v>
      </c>
      <c r="E35" s="1334">
        <v>14519.55</v>
      </c>
      <c r="F35" s="821"/>
      <c r="G35" s="243">
        <f t="shared" si="1"/>
        <v>0</v>
      </c>
    </row>
    <row r="36" spans="1:7" s="624" customFormat="1" ht="78.75">
      <c r="A36" s="1331">
        <v>2.09</v>
      </c>
      <c r="B36" s="1332" t="s">
        <v>1239</v>
      </c>
      <c r="C36" s="1328" t="s">
        <v>1260</v>
      </c>
      <c r="D36" s="1333" t="s">
        <v>510</v>
      </c>
      <c r="E36" s="1334">
        <v>6171</v>
      </c>
      <c r="F36" s="821"/>
      <c r="G36" s="243">
        <f t="shared" si="1"/>
        <v>0</v>
      </c>
    </row>
    <row r="37" spans="1:7" s="624" customFormat="1" ht="31.5">
      <c r="A37" s="1331">
        <v>2.12</v>
      </c>
      <c r="B37" s="1332" t="s">
        <v>849</v>
      </c>
      <c r="C37" s="1328" t="s">
        <v>1260</v>
      </c>
      <c r="D37" s="1333" t="s">
        <v>513</v>
      </c>
      <c r="E37" s="1334">
        <v>183.51</v>
      </c>
      <c r="F37" s="821"/>
      <c r="G37" s="243">
        <f t="shared" si="1"/>
        <v>0</v>
      </c>
    </row>
    <row r="38" spans="1:7" s="624" customFormat="1" ht="18.75">
      <c r="A38" s="1331">
        <v>2.13</v>
      </c>
      <c r="B38" s="1332" t="s">
        <v>518</v>
      </c>
      <c r="C38" s="1328" t="s">
        <v>1260</v>
      </c>
      <c r="D38" s="1333" t="s">
        <v>513</v>
      </c>
      <c r="E38" s="1334">
        <v>183.51</v>
      </c>
      <c r="F38" s="821"/>
      <c r="G38" s="243">
        <f t="shared" si="1"/>
        <v>0</v>
      </c>
    </row>
    <row r="39" spans="1:7" ht="15.75">
      <c r="A39" s="1235"/>
      <c r="B39" s="1335" t="s">
        <v>517</v>
      </c>
      <c r="C39" s="1236"/>
      <c r="D39" s="1235"/>
      <c r="E39" s="1237"/>
      <c r="F39" s="631"/>
      <c r="G39" s="632">
        <f>SUM(G33:G38)</f>
        <v>0</v>
      </c>
    </row>
    <row r="40" spans="1:7" ht="15.75">
      <c r="A40" s="633"/>
      <c r="B40" s="1098"/>
      <c r="C40" s="634"/>
      <c r="D40" s="634"/>
      <c r="E40" s="634"/>
      <c r="F40" s="634"/>
      <c r="G40" s="634"/>
    </row>
    <row r="41" spans="1:7" ht="15.75">
      <c r="A41" s="1336"/>
      <c r="B41" s="1240" t="s">
        <v>1102</v>
      </c>
      <c r="C41" s="1337" t="s">
        <v>1261</v>
      </c>
      <c r="D41" s="1323"/>
      <c r="E41" s="1323"/>
      <c r="F41" s="1172"/>
      <c r="G41" s="1173"/>
    </row>
    <row r="42" spans="1:7" ht="15.75">
      <c r="A42" s="1338" t="s">
        <v>515</v>
      </c>
      <c r="B42" s="1339"/>
      <c r="C42" s="1338"/>
      <c r="D42" s="1338"/>
      <c r="E42" s="1338"/>
      <c r="F42" s="76"/>
      <c r="G42" s="76"/>
    </row>
    <row r="43" spans="1:7" s="624" customFormat="1" ht="47.25">
      <c r="A43" s="1331">
        <v>3.01</v>
      </c>
      <c r="B43" s="1332" t="s">
        <v>850</v>
      </c>
      <c r="C43" s="1328" t="s">
        <v>1276</v>
      </c>
      <c r="D43" s="1333"/>
      <c r="E43" s="1333"/>
      <c r="F43" s="76"/>
      <c r="G43" s="76"/>
    </row>
    <row r="44" spans="1:7" s="624" customFormat="1" ht="18.75">
      <c r="A44" s="1331"/>
      <c r="B44" s="1332" t="s">
        <v>514</v>
      </c>
      <c r="C44" s="1338"/>
      <c r="D44" s="1333" t="s">
        <v>513</v>
      </c>
      <c r="E44" s="1334">
        <v>1563.92</v>
      </c>
      <c r="F44" s="821"/>
      <c r="G44" s="243">
        <f t="shared" ref="G44:G48" si="2">E44*F44</f>
        <v>0</v>
      </c>
    </row>
    <row r="45" spans="1:7" s="624" customFormat="1" ht="63">
      <c r="A45" s="1331">
        <v>3.01</v>
      </c>
      <c r="B45" s="1332" t="s">
        <v>851</v>
      </c>
      <c r="C45" s="1328" t="s">
        <v>1276</v>
      </c>
      <c r="D45" s="1333" t="s">
        <v>513</v>
      </c>
      <c r="E45" s="1334">
        <v>1395.27</v>
      </c>
      <c r="F45" s="821"/>
      <c r="G45" s="243">
        <f t="shared" si="2"/>
        <v>0</v>
      </c>
    </row>
    <row r="46" spans="1:7" s="624" customFormat="1" ht="31.5">
      <c r="A46" s="1331">
        <v>3.05</v>
      </c>
      <c r="B46" s="1332" t="s">
        <v>512</v>
      </c>
      <c r="C46" s="1328" t="s">
        <v>1276</v>
      </c>
      <c r="D46" s="1333" t="s">
        <v>510</v>
      </c>
      <c r="E46" s="1334">
        <v>7500</v>
      </c>
      <c r="F46" s="821"/>
      <c r="G46" s="243">
        <f t="shared" si="2"/>
        <v>0</v>
      </c>
    </row>
    <row r="47" spans="1:7" s="624" customFormat="1" ht="31.5" customHeight="1">
      <c r="A47" s="1331">
        <v>3.05</v>
      </c>
      <c r="B47" s="1332" t="s">
        <v>511</v>
      </c>
      <c r="C47" s="1328" t="s">
        <v>1276</v>
      </c>
      <c r="D47" s="1333" t="s">
        <v>510</v>
      </c>
      <c r="E47" s="1334">
        <v>7500</v>
      </c>
      <c r="F47" s="821"/>
      <c r="G47" s="243">
        <f t="shared" si="2"/>
        <v>0</v>
      </c>
    </row>
    <row r="48" spans="1:7" s="624" customFormat="1" ht="66.75" customHeight="1">
      <c r="A48" s="1331">
        <v>3.11</v>
      </c>
      <c r="B48" s="1332" t="s">
        <v>852</v>
      </c>
      <c r="C48" s="1328" t="s">
        <v>1276</v>
      </c>
      <c r="D48" s="1333" t="s">
        <v>510</v>
      </c>
      <c r="E48" s="1334">
        <v>1429</v>
      </c>
      <c r="F48" s="821"/>
      <c r="G48" s="243">
        <f t="shared" si="2"/>
        <v>0</v>
      </c>
    </row>
    <row r="49" spans="1:7" s="624" customFormat="1" ht="15.75">
      <c r="A49" s="1331">
        <v>3.15</v>
      </c>
      <c r="B49" s="1332" t="s">
        <v>509</v>
      </c>
      <c r="C49" s="1328" t="s">
        <v>1276</v>
      </c>
      <c r="D49" s="1333"/>
      <c r="E49" s="1334"/>
      <c r="F49" s="826"/>
      <c r="G49" s="243"/>
    </row>
    <row r="50" spans="1:7" s="624" customFormat="1" ht="15.75">
      <c r="A50" s="1331"/>
      <c r="B50" s="1332" t="s">
        <v>508</v>
      </c>
      <c r="C50" s="1338"/>
      <c r="D50" s="1333" t="s">
        <v>176</v>
      </c>
      <c r="E50" s="1334">
        <v>1715</v>
      </c>
      <c r="F50" s="821"/>
      <c r="G50" s="243">
        <f>E50*F50</f>
        <v>0</v>
      </c>
    </row>
    <row r="51" spans="1:7" s="624" customFormat="1" ht="15.75">
      <c r="A51" s="1331"/>
      <c r="B51" s="1332" t="s">
        <v>507</v>
      </c>
      <c r="C51" s="1338"/>
      <c r="D51" s="1333" t="s">
        <v>176</v>
      </c>
      <c r="E51" s="1334">
        <v>325</v>
      </c>
      <c r="F51" s="821"/>
      <c r="G51" s="243">
        <f>E51*F51</f>
        <v>0</v>
      </c>
    </row>
    <row r="52" spans="1:7" s="624" customFormat="1" ht="31.5">
      <c r="A52" s="1331"/>
      <c r="B52" s="1332" t="s">
        <v>506</v>
      </c>
      <c r="C52" s="1338"/>
      <c r="D52" s="1333" t="s">
        <v>176</v>
      </c>
      <c r="E52" s="1334">
        <v>220</v>
      </c>
      <c r="F52" s="821"/>
      <c r="G52" s="243">
        <f>E52*F52</f>
        <v>0</v>
      </c>
    </row>
    <row r="53" spans="1:7" ht="15.75">
      <c r="A53" s="628"/>
      <c r="B53" s="800" t="s">
        <v>505</v>
      </c>
      <c r="C53" s="635"/>
      <c r="D53" s="628"/>
      <c r="E53" s="630"/>
      <c r="F53" s="631"/>
      <c r="G53" s="632">
        <f>SUM(G43:G52)</f>
        <v>0</v>
      </c>
    </row>
    <row r="54" spans="1:7" ht="15.75">
      <c r="A54" s="621"/>
      <c r="B54" s="1099"/>
      <c r="C54" s="621"/>
      <c r="D54" s="621"/>
      <c r="E54" s="620"/>
      <c r="F54" s="621"/>
      <c r="G54" s="621"/>
    </row>
    <row r="55" spans="1:7" ht="15.75">
      <c r="A55" s="636"/>
      <c r="B55" s="1515" t="s">
        <v>1101</v>
      </c>
      <c r="C55" s="1516"/>
      <c r="D55" s="1516"/>
      <c r="E55" s="1516"/>
      <c r="F55" s="1516"/>
      <c r="G55" s="1517"/>
    </row>
    <row r="56" spans="1:7" ht="31.5">
      <c r="A56" s="1331" t="s">
        <v>504</v>
      </c>
      <c r="B56" s="1332" t="s">
        <v>503</v>
      </c>
      <c r="C56" s="1328" t="s">
        <v>1276</v>
      </c>
      <c r="D56" s="1331" t="s">
        <v>11</v>
      </c>
      <c r="E56" s="1369">
        <v>4</v>
      </c>
      <c r="F56" s="821"/>
      <c r="G56" s="823">
        <f>E56*F56</f>
        <v>0</v>
      </c>
    </row>
    <row r="57" spans="1:7" ht="15.75">
      <c r="A57" s="628"/>
      <c r="B57" s="800" t="s">
        <v>502</v>
      </c>
      <c r="C57" s="635"/>
      <c r="D57" s="630"/>
      <c r="E57" s="630"/>
      <c r="F57" s="631"/>
      <c r="G57" s="632">
        <f>G56</f>
        <v>0</v>
      </c>
    </row>
    <row r="58" spans="1:7" ht="15.75">
      <c r="A58" s="623"/>
      <c r="B58" s="1100"/>
      <c r="C58" s="622"/>
      <c r="D58" s="622"/>
      <c r="E58" s="622"/>
      <c r="F58" s="622"/>
      <c r="G58" s="622"/>
    </row>
    <row r="59" spans="1:7" ht="15.75">
      <c r="A59" s="1125"/>
      <c r="B59" s="1126" t="s">
        <v>1036</v>
      </c>
      <c r="C59" s="1125"/>
      <c r="D59" s="1125"/>
      <c r="E59" s="1125"/>
      <c r="F59" s="1125"/>
      <c r="G59" s="1125"/>
    </row>
    <row r="60" spans="1:7" ht="15.75">
      <c r="A60" s="270" t="s">
        <v>247</v>
      </c>
      <c r="B60" s="1003" t="s">
        <v>534</v>
      </c>
      <c r="C60" s="76"/>
      <c r="D60" s="76"/>
      <c r="E60" s="76"/>
      <c r="F60" s="76"/>
      <c r="G60" s="64">
        <f>G29</f>
        <v>0</v>
      </c>
    </row>
    <row r="61" spans="1:7" ht="15.75">
      <c r="A61" s="270" t="s">
        <v>249</v>
      </c>
      <c r="B61" s="1003" t="s">
        <v>521</v>
      </c>
      <c r="C61" s="76"/>
      <c r="D61" s="87"/>
      <c r="E61" s="76"/>
      <c r="F61" s="76"/>
      <c r="G61" s="64">
        <f>G39</f>
        <v>0</v>
      </c>
    </row>
    <row r="62" spans="1:7" ht="15.75">
      <c r="A62" s="270" t="s">
        <v>251</v>
      </c>
      <c r="B62" s="1003" t="s">
        <v>516</v>
      </c>
      <c r="C62" s="76"/>
      <c r="D62" s="76"/>
      <c r="E62" s="76"/>
      <c r="F62" s="76"/>
      <c r="G62" s="64">
        <f>G53</f>
        <v>0</v>
      </c>
    </row>
    <row r="63" spans="1:7" ht="15.75">
      <c r="A63" s="270" t="s">
        <v>253</v>
      </c>
      <c r="B63" s="1003" t="s">
        <v>501</v>
      </c>
      <c r="C63" s="76"/>
      <c r="D63" s="76"/>
      <c r="E63" s="76"/>
      <c r="F63" s="76"/>
      <c r="G63" s="64">
        <f>G57</f>
        <v>0</v>
      </c>
    </row>
    <row r="64" spans="1:7" ht="16.5" customHeight="1">
      <c r="A64" s="1127"/>
      <c r="B64" s="1128" t="s">
        <v>920</v>
      </c>
      <c r="C64" s="1129"/>
      <c r="D64" s="1130"/>
      <c r="E64" s="1130"/>
      <c r="F64" s="1130"/>
      <c r="G64" s="1131">
        <f>SUM(G60:G63)</f>
        <v>0</v>
      </c>
    </row>
    <row r="65" spans="1:7" ht="16.5" customHeight="1">
      <c r="A65" s="618"/>
      <c r="B65" s="1101"/>
      <c r="C65" s="619"/>
      <c r="D65" s="619"/>
      <c r="E65" s="619"/>
      <c r="F65" s="619"/>
      <c r="G65" s="619"/>
    </row>
  </sheetData>
  <sheetProtection sheet="1" objects="1" scenarios="1" formatRows="0" selectLockedCells="1"/>
  <mergeCells count="2">
    <mergeCell ref="A32:G32"/>
    <mergeCell ref="B55:G55"/>
  </mergeCells>
  <pageMargins left="0.78749999999999998" right="0.39374999999999999" top="0.73406249999999995" bottom="0.63124999999999998" header="0.39374999999999999" footer="0.39374999999999999"/>
  <pageSetup paperSize="9" scale="87" orientation="portrait" r:id="rId1"/>
  <headerFooter alignWithMargins="0">
    <oddHeader>&amp;L&amp;"Times New Roman,Standard"Construction of BCP Kotroman&amp;R&amp;"Times New Roman,Standard"&amp;10Bill of Quantities</oddHeader>
    <oddFooter>&amp;R&amp;"Times New Roman,Regular"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7"/>
  <sheetViews>
    <sheetView showZeros="0" view="pageBreakPreview" topLeftCell="A50" zoomScaleNormal="100" zoomScaleSheetLayoutView="100" workbookViewId="0">
      <selection activeCell="F58" sqref="F58"/>
    </sheetView>
  </sheetViews>
  <sheetFormatPr baseColWidth="10" defaultColWidth="8" defaultRowHeight="15"/>
  <cols>
    <col min="1" max="1" width="6.140625" style="643" customWidth="1"/>
    <col min="2" max="2" width="36.5703125" style="1103" customWidth="1"/>
    <col min="3" max="3" width="11.28515625" style="642" customWidth="1"/>
    <col min="4" max="4" width="8" style="641" customWidth="1"/>
    <col min="5" max="5" width="11.5703125" style="640" customWidth="1"/>
    <col min="6" max="6" width="14.5703125" style="639" customWidth="1"/>
    <col min="7" max="7" width="16.140625" style="638" customWidth="1"/>
    <col min="8" max="16384" width="8" style="637"/>
  </cols>
  <sheetData>
    <row r="1" spans="1:7" ht="18.75">
      <c r="A1" s="1199"/>
      <c r="B1" s="1200" t="s">
        <v>1117</v>
      </c>
      <c r="C1" s="1201"/>
      <c r="D1" s="1202"/>
      <c r="E1" s="1203"/>
      <c r="F1" s="1204"/>
      <c r="G1" s="1205"/>
    </row>
    <row r="2" spans="1:7" ht="37.5">
      <c r="A2" s="1199"/>
      <c r="B2" s="1200" t="s">
        <v>1139</v>
      </c>
      <c r="C2" s="1206"/>
      <c r="D2" s="1207"/>
      <c r="E2" s="1208"/>
      <c r="F2" s="1209"/>
      <c r="G2" s="1210"/>
    </row>
    <row r="3" spans="1:7">
      <c r="A3" s="1199"/>
      <c r="B3" s="1211"/>
      <c r="C3" s="1206"/>
      <c r="D3" s="1207"/>
      <c r="E3" s="1208"/>
      <c r="F3" s="1209"/>
      <c r="G3" s="1210"/>
    </row>
    <row r="4" spans="1:7" ht="15.75">
      <c r="A4" s="1212"/>
      <c r="B4" s="1213" t="s">
        <v>1119</v>
      </c>
      <c r="C4" s="1213"/>
      <c r="D4" s="1214"/>
      <c r="E4" s="1215"/>
      <c r="F4" s="1216"/>
      <c r="G4" s="1217"/>
    </row>
    <row r="5" spans="1:7">
      <c r="A5" s="1199"/>
      <c r="B5" s="1211"/>
      <c r="C5" s="1206"/>
      <c r="D5" s="1207"/>
      <c r="E5" s="1208"/>
      <c r="F5" s="1209"/>
      <c r="G5" s="1210"/>
    </row>
    <row r="6" spans="1:7" ht="41.25" customHeight="1">
      <c r="A6" s="1218" t="s">
        <v>891</v>
      </c>
      <c r="B6" s="1219" t="s">
        <v>892</v>
      </c>
      <c r="C6" s="1220" t="s">
        <v>894</v>
      </c>
      <c r="D6" s="1220" t="s">
        <v>1</v>
      </c>
      <c r="E6" s="1221" t="s">
        <v>893</v>
      </c>
      <c r="F6" s="1221" t="s">
        <v>1234</v>
      </c>
      <c r="G6" s="1221" t="s">
        <v>1233</v>
      </c>
    </row>
    <row r="7" spans="1:7" ht="15.75">
      <c r="A7" s="1222"/>
      <c r="B7" s="1223"/>
      <c r="C7" s="1222"/>
      <c r="D7" s="1222"/>
      <c r="E7" s="1222"/>
      <c r="F7" s="1222"/>
      <c r="G7" s="1222"/>
    </row>
    <row r="8" spans="1:7" ht="15.75">
      <c r="A8" s="1224">
        <v>1</v>
      </c>
      <c r="B8" s="1225" t="s">
        <v>676</v>
      </c>
      <c r="C8" s="1226" t="s">
        <v>1273</v>
      </c>
      <c r="D8" s="1227"/>
      <c r="E8" s="1520"/>
      <c r="F8" s="1520"/>
      <c r="G8" s="1520"/>
    </row>
    <row r="9" spans="1:7" ht="15.75">
      <c r="A9" s="1222"/>
      <c r="B9" s="1223"/>
      <c r="C9" s="1228"/>
      <c r="D9" s="1222"/>
      <c r="E9" s="1222"/>
      <c r="F9" s="1222"/>
      <c r="G9" s="1229"/>
    </row>
    <row r="10" spans="1:7" ht="15.75">
      <c r="A10" s="1222" t="s">
        <v>47</v>
      </c>
      <c r="B10" s="1230" t="s">
        <v>544</v>
      </c>
      <c r="C10" s="1231" t="s">
        <v>1262</v>
      </c>
      <c r="D10" s="1232"/>
      <c r="E10" s="1233"/>
      <c r="F10" s="1233"/>
      <c r="G10" s="1229"/>
    </row>
    <row r="11" spans="1:7" ht="15.75">
      <c r="A11" s="1222"/>
      <c r="B11" s="1230" t="s">
        <v>545</v>
      </c>
      <c r="C11" s="1228"/>
      <c r="D11" s="1232" t="s">
        <v>176</v>
      </c>
      <c r="E11" s="1233">
        <v>220</v>
      </c>
      <c r="F11" s="825"/>
      <c r="G11" s="1229">
        <f>E11*F11</f>
        <v>0</v>
      </c>
    </row>
    <row r="12" spans="1:7" ht="15.75">
      <c r="A12" s="1222"/>
      <c r="B12" s="1230" t="s">
        <v>546</v>
      </c>
      <c r="C12" s="1228"/>
      <c r="D12" s="1232" t="s">
        <v>176</v>
      </c>
      <c r="E12" s="1233">
        <v>500</v>
      </c>
      <c r="F12" s="825"/>
      <c r="G12" s="1229">
        <f>E12*F12</f>
        <v>0</v>
      </c>
    </row>
    <row r="13" spans="1:7" ht="15.75">
      <c r="A13" s="1235"/>
      <c r="B13" s="1236" t="s">
        <v>543</v>
      </c>
      <c r="C13" s="1236"/>
      <c r="D13" s="1235"/>
      <c r="E13" s="1237"/>
      <c r="F13" s="1238"/>
      <c r="G13" s="1239">
        <f>SUM(G11:G12)</f>
        <v>0</v>
      </c>
    </row>
    <row r="14" spans="1:7" ht="15.75">
      <c r="A14" s="1222"/>
      <c r="B14" s="1223"/>
      <c r="C14" s="1222"/>
      <c r="D14" s="1222"/>
      <c r="E14" s="1222"/>
      <c r="F14" s="1222"/>
      <c r="G14" s="1222"/>
    </row>
    <row r="15" spans="1:7" ht="15.75">
      <c r="A15" s="1224">
        <v>2</v>
      </c>
      <c r="B15" s="1240" t="s">
        <v>677</v>
      </c>
      <c r="C15" s="1226" t="s">
        <v>1273</v>
      </c>
      <c r="D15" s="1241"/>
      <c r="E15" s="1241"/>
      <c r="F15" s="1241"/>
      <c r="G15" s="1242"/>
    </row>
    <row r="16" spans="1:7" ht="15.75">
      <c r="A16" s="1228"/>
      <c r="B16" s="1230"/>
      <c r="C16" s="1228"/>
      <c r="D16" s="1232"/>
      <c r="E16" s="1233"/>
      <c r="F16" s="1222"/>
      <c r="G16" s="1229"/>
    </row>
    <row r="17" spans="1:7" ht="15.75">
      <c r="A17" s="1243" t="s">
        <v>47</v>
      </c>
      <c r="B17" s="1230" t="s">
        <v>547</v>
      </c>
      <c r="C17" s="1231" t="s">
        <v>1262</v>
      </c>
      <c r="D17" s="1232"/>
      <c r="E17" s="1233"/>
      <c r="F17" s="1222"/>
      <c r="G17" s="1229"/>
    </row>
    <row r="18" spans="1:7" ht="18.75">
      <c r="A18" s="1243"/>
      <c r="B18" s="1230" t="s">
        <v>545</v>
      </c>
      <c r="C18" s="1228"/>
      <c r="D18" s="1232" t="s">
        <v>513</v>
      </c>
      <c r="E18" s="1233">
        <v>176</v>
      </c>
      <c r="F18" s="825"/>
      <c r="G18" s="1229">
        <f>E18*F18</f>
        <v>0</v>
      </c>
    </row>
    <row r="19" spans="1:7" ht="18.75">
      <c r="A19" s="1243"/>
      <c r="B19" s="1230" t="s">
        <v>546</v>
      </c>
      <c r="C19" s="1228"/>
      <c r="D19" s="1232" t="s">
        <v>513</v>
      </c>
      <c r="E19" s="1233">
        <v>400</v>
      </c>
      <c r="F19" s="825"/>
      <c r="G19" s="1229">
        <f>E19*F19</f>
        <v>0</v>
      </c>
    </row>
    <row r="20" spans="1:7" ht="15.75">
      <c r="A20" s="1243"/>
      <c r="B20" s="1230"/>
      <c r="C20" s="1228"/>
      <c r="D20" s="1232"/>
      <c r="E20" s="1233"/>
      <c r="F20" s="1222"/>
      <c r="G20" s="1229"/>
    </row>
    <row r="21" spans="1:7" ht="15.75">
      <c r="A21" s="1243" t="s">
        <v>49</v>
      </c>
      <c r="B21" s="1230" t="s">
        <v>548</v>
      </c>
      <c r="C21" s="1231" t="s">
        <v>1262</v>
      </c>
      <c r="D21" s="1232"/>
      <c r="E21" s="1233"/>
      <c r="F21" s="1222"/>
      <c r="G21" s="1229"/>
    </row>
    <row r="22" spans="1:7" ht="18.75">
      <c r="A22" s="1243"/>
      <c r="B22" s="1230" t="s">
        <v>545</v>
      </c>
      <c r="C22" s="1228"/>
      <c r="D22" s="1232" t="s">
        <v>513</v>
      </c>
      <c r="E22" s="1233">
        <v>44</v>
      </c>
      <c r="F22" s="825"/>
      <c r="G22" s="1229">
        <f>E22*F22</f>
        <v>0</v>
      </c>
    </row>
    <row r="23" spans="1:7" ht="18.75">
      <c r="A23" s="1243"/>
      <c r="B23" s="1230" t="s">
        <v>546</v>
      </c>
      <c r="C23" s="1228"/>
      <c r="D23" s="1232" t="s">
        <v>513</v>
      </c>
      <c r="E23" s="1233">
        <v>100</v>
      </c>
      <c r="F23" s="825"/>
      <c r="G23" s="1229">
        <f>E23*F23</f>
        <v>0</v>
      </c>
    </row>
    <row r="24" spans="1:7" ht="15.75">
      <c r="A24" s="1243"/>
      <c r="B24" s="1230"/>
      <c r="C24" s="1228"/>
      <c r="D24" s="1232"/>
      <c r="E24" s="1208"/>
      <c r="F24" s="825"/>
      <c r="G24" s="1229"/>
    </row>
    <row r="25" spans="1:7" ht="15.75">
      <c r="A25" s="1243" t="s">
        <v>52</v>
      </c>
      <c r="B25" s="1230" t="s">
        <v>549</v>
      </c>
      <c r="C25" s="1231" t="s">
        <v>1262</v>
      </c>
      <c r="D25" s="1232"/>
      <c r="E25" s="1233"/>
      <c r="F25" s="819"/>
      <c r="G25" s="1229"/>
    </row>
    <row r="26" spans="1:7" ht="18.75">
      <c r="A26" s="1243"/>
      <c r="B26" s="1230" t="s">
        <v>545</v>
      </c>
      <c r="C26" s="1228"/>
      <c r="D26" s="1232" t="s">
        <v>513</v>
      </c>
      <c r="E26" s="1233">
        <v>22</v>
      </c>
      <c r="F26" s="825"/>
      <c r="G26" s="1229">
        <f>E26*F26</f>
        <v>0</v>
      </c>
    </row>
    <row r="27" spans="1:7" ht="18.75">
      <c r="A27" s="1243"/>
      <c r="B27" s="1230" t="s">
        <v>546</v>
      </c>
      <c r="C27" s="1228"/>
      <c r="D27" s="1232" t="s">
        <v>513</v>
      </c>
      <c r="E27" s="1233">
        <v>50</v>
      </c>
      <c r="F27" s="825"/>
      <c r="G27" s="1229">
        <f>E27*F27</f>
        <v>0</v>
      </c>
    </row>
    <row r="28" spans="1:7" ht="15.75">
      <c r="A28" s="1243"/>
      <c r="B28" s="1230"/>
      <c r="C28" s="1228"/>
      <c r="D28" s="1232"/>
      <c r="E28" s="1233"/>
      <c r="F28" s="1222"/>
      <c r="G28" s="1229"/>
    </row>
    <row r="29" spans="1:7" ht="15.75">
      <c r="A29" s="1243" t="s">
        <v>56</v>
      </c>
      <c r="B29" s="1230" t="s">
        <v>550</v>
      </c>
      <c r="C29" s="1231" t="s">
        <v>1262</v>
      </c>
      <c r="D29" s="1232"/>
      <c r="E29" s="1233"/>
      <c r="F29" s="1222"/>
      <c r="G29" s="1229"/>
    </row>
    <row r="30" spans="1:7" ht="18.75">
      <c r="A30" s="1243"/>
      <c r="B30" s="1230" t="s">
        <v>545</v>
      </c>
      <c r="C30" s="1228"/>
      <c r="D30" s="1232" t="s">
        <v>513</v>
      </c>
      <c r="E30" s="1233">
        <v>66</v>
      </c>
      <c r="F30" s="825"/>
      <c r="G30" s="1229">
        <f>E30*F30</f>
        <v>0</v>
      </c>
    </row>
    <row r="31" spans="1:7" ht="18.75">
      <c r="A31" s="1243"/>
      <c r="B31" s="1230" t="s">
        <v>546</v>
      </c>
      <c r="C31" s="1228"/>
      <c r="D31" s="1232" t="s">
        <v>513</v>
      </c>
      <c r="E31" s="1233">
        <v>150</v>
      </c>
      <c r="F31" s="825"/>
      <c r="G31" s="1229">
        <f>E31*F31</f>
        <v>0</v>
      </c>
    </row>
    <row r="32" spans="1:7" ht="15.75">
      <c r="A32" s="1243"/>
      <c r="B32" s="1230"/>
      <c r="C32" s="1228"/>
      <c r="D32" s="1232"/>
      <c r="E32" s="1233"/>
      <c r="F32" s="1222"/>
      <c r="G32" s="1229"/>
    </row>
    <row r="33" spans="1:7" ht="31.5">
      <c r="A33" s="1243" t="s">
        <v>350</v>
      </c>
      <c r="B33" s="1230" t="s">
        <v>551</v>
      </c>
      <c r="C33" s="1231" t="s">
        <v>1262</v>
      </c>
      <c r="D33" s="1232"/>
      <c r="E33" s="1233"/>
      <c r="F33" s="1222"/>
      <c r="G33" s="1229"/>
    </row>
    <row r="34" spans="1:7" ht="18.75">
      <c r="A34" s="1243"/>
      <c r="B34" s="1230" t="s">
        <v>545</v>
      </c>
      <c r="C34" s="1228"/>
      <c r="D34" s="1232" t="s">
        <v>513</v>
      </c>
      <c r="E34" s="1233">
        <v>132</v>
      </c>
      <c r="F34" s="825"/>
      <c r="G34" s="1229">
        <f>E34*F34</f>
        <v>0</v>
      </c>
    </row>
    <row r="35" spans="1:7" ht="18.75">
      <c r="A35" s="1243"/>
      <c r="B35" s="1230" t="s">
        <v>546</v>
      </c>
      <c r="C35" s="1228"/>
      <c r="D35" s="1232" t="s">
        <v>513</v>
      </c>
      <c r="E35" s="1233">
        <v>300</v>
      </c>
      <c r="F35" s="825"/>
      <c r="G35" s="1229">
        <f>E35*F35</f>
        <v>0</v>
      </c>
    </row>
    <row r="36" spans="1:7" ht="15.75">
      <c r="A36" s="1243"/>
      <c r="B36" s="1230"/>
      <c r="C36" s="1228"/>
      <c r="D36" s="1232"/>
      <c r="E36" s="1233"/>
      <c r="F36" s="1222"/>
      <c r="G36" s="1229"/>
    </row>
    <row r="37" spans="1:7" ht="31.5">
      <c r="A37" s="1243" t="s">
        <v>552</v>
      </c>
      <c r="B37" s="1230" t="s">
        <v>553</v>
      </c>
      <c r="C37" s="1231" t="s">
        <v>1262</v>
      </c>
      <c r="D37" s="1232"/>
      <c r="E37" s="1233"/>
      <c r="F37" s="1222"/>
      <c r="G37" s="1229"/>
    </row>
    <row r="38" spans="1:7" ht="18.75">
      <c r="A38" s="1243"/>
      <c r="B38" s="1230" t="s">
        <v>545</v>
      </c>
      <c r="C38" s="1228"/>
      <c r="D38" s="1232" t="s">
        <v>513</v>
      </c>
      <c r="E38" s="1233">
        <v>88</v>
      </c>
      <c r="F38" s="825"/>
      <c r="G38" s="1229">
        <f>E38*F38</f>
        <v>0</v>
      </c>
    </row>
    <row r="39" spans="1:7" ht="18.75">
      <c r="A39" s="1243"/>
      <c r="B39" s="1230" t="s">
        <v>546</v>
      </c>
      <c r="C39" s="1228"/>
      <c r="D39" s="1232" t="s">
        <v>513</v>
      </c>
      <c r="E39" s="1233">
        <v>200</v>
      </c>
      <c r="F39" s="825"/>
      <c r="G39" s="1229">
        <f>E39*F39</f>
        <v>0</v>
      </c>
    </row>
    <row r="40" spans="1:7" ht="15.75">
      <c r="A40" s="1236"/>
      <c r="B40" s="1236" t="s">
        <v>542</v>
      </c>
      <c r="C40" s="1236"/>
      <c r="D40" s="1235"/>
      <c r="E40" s="1237"/>
      <c r="F40" s="1238"/>
      <c r="G40" s="1239">
        <f>SUM(G18:G39)</f>
        <v>0</v>
      </c>
    </row>
    <row r="41" spans="1:7" ht="15.75">
      <c r="A41" s="1228"/>
      <c r="B41" s="1230"/>
      <c r="C41" s="1228"/>
      <c r="D41" s="1228"/>
      <c r="E41" s="1228"/>
      <c r="F41" s="1228"/>
      <c r="G41" s="1228"/>
    </row>
    <row r="42" spans="1:7" ht="15.75">
      <c r="A42" s="1224">
        <v>3</v>
      </c>
      <c r="B42" s="1240" t="s">
        <v>678</v>
      </c>
      <c r="C42" s="1226" t="s">
        <v>1273</v>
      </c>
      <c r="D42" s="1241"/>
      <c r="E42" s="1241"/>
      <c r="F42" s="1241"/>
      <c r="G42" s="1242"/>
    </row>
    <row r="43" spans="1:7" ht="15.75">
      <c r="A43" s="1228"/>
      <c r="B43" s="1230"/>
      <c r="C43" s="1228"/>
      <c r="D43" s="1228"/>
      <c r="E43" s="1228"/>
      <c r="F43" s="1228"/>
      <c r="G43" s="1228"/>
    </row>
    <row r="44" spans="1:7" ht="15.75">
      <c r="A44" s="1222" t="s">
        <v>47</v>
      </c>
      <c r="B44" s="1230" t="s">
        <v>554</v>
      </c>
      <c r="C44" s="1231" t="s">
        <v>1262</v>
      </c>
      <c r="D44" s="1232"/>
      <c r="E44" s="1233"/>
      <c r="F44" s="1222"/>
      <c r="G44" s="1229"/>
    </row>
    <row r="45" spans="1:7" ht="15.75">
      <c r="A45" s="1222"/>
      <c r="B45" s="1230" t="s">
        <v>545</v>
      </c>
      <c r="C45" s="1228"/>
      <c r="D45" s="1232" t="s">
        <v>176</v>
      </c>
      <c r="E45" s="1233">
        <v>220</v>
      </c>
      <c r="F45" s="825"/>
      <c r="G45" s="1229">
        <f>E45*F45</f>
        <v>0</v>
      </c>
    </row>
    <row r="46" spans="1:7" ht="15.75">
      <c r="A46" s="1222"/>
      <c r="B46" s="1230" t="s">
        <v>546</v>
      </c>
      <c r="C46" s="1228"/>
      <c r="D46" s="1232" t="s">
        <v>176</v>
      </c>
      <c r="E46" s="1233">
        <v>500</v>
      </c>
      <c r="F46" s="825"/>
      <c r="G46" s="1229">
        <f>E46*F46</f>
        <v>0</v>
      </c>
    </row>
    <row r="47" spans="1:7" ht="15.75">
      <c r="A47" s="1235"/>
      <c r="B47" s="1236" t="s">
        <v>541</v>
      </c>
      <c r="C47" s="1236"/>
      <c r="D47" s="1235"/>
      <c r="E47" s="1237"/>
      <c r="F47" s="1238"/>
      <c r="G47" s="1239">
        <f>SUM(G45:G46)</f>
        <v>0</v>
      </c>
    </row>
    <row r="48" spans="1:7" ht="15.75">
      <c r="A48" s="1228"/>
      <c r="B48" s="1230"/>
      <c r="C48" s="1228"/>
      <c r="D48" s="1228"/>
      <c r="E48" s="1228"/>
      <c r="F48" s="1228"/>
      <c r="G48" s="1228"/>
    </row>
    <row r="49" spans="1:7" s="653" customFormat="1" ht="15.75">
      <c r="A49" s="1224">
        <v>4</v>
      </c>
      <c r="B49" s="1240" t="s">
        <v>679</v>
      </c>
      <c r="C49" s="1226" t="s">
        <v>1273</v>
      </c>
      <c r="D49" s="1241"/>
      <c r="E49" s="1241"/>
      <c r="F49" s="1241"/>
      <c r="G49" s="1242"/>
    </row>
    <row r="50" spans="1:7" ht="15.75">
      <c r="A50" s="1228"/>
      <c r="B50" s="1230"/>
      <c r="C50" s="1228"/>
      <c r="D50" s="1228"/>
      <c r="E50" s="1228"/>
      <c r="F50" s="1228"/>
      <c r="G50" s="1228"/>
    </row>
    <row r="51" spans="1:7" ht="78.75">
      <c r="A51" s="1243" t="s">
        <v>47</v>
      </c>
      <c r="B51" s="1230" t="s">
        <v>540</v>
      </c>
      <c r="C51" s="1231" t="s">
        <v>1262</v>
      </c>
      <c r="D51" s="1232"/>
      <c r="E51" s="1233"/>
      <c r="F51" s="1222"/>
      <c r="G51" s="1229"/>
    </row>
    <row r="52" spans="1:7" ht="15.75">
      <c r="A52" s="1244" t="s">
        <v>555</v>
      </c>
      <c r="B52" s="1245" t="s">
        <v>556</v>
      </c>
      <c r="C52" s="1228"/>
      <c r="D52" s="1232"/>
      <c r="E52" s="1233"/>
      <c r="F52" s="1222"/>
      <c r="G52" s="1229"/>
    </row>
    <row r="53" spans="1:7" ht="47.25">
      <c r="A53" s="1243"/>
      <c r="B53" s="1230" t="s">
        <v>557</v>
      </c>
      <c r="C53" s="1228"/>
      <c r="D53" s="1232" t="s">
        <v>176</v>
      </c>
      <c r="E53" s="1233">
        <v>490</v>
      </c>
      <c r="F53" s="825"/>
      <c r="G53" s="1229">
        <f>E53*F53</f>
        <v>0</v>
      </c>
    </row>
    <row r="54" spans="1:7" ht="31.5">
      <c r="A54" s="1243"/>
      <c r="B54" s="1230" t="s">
        <v>558</v>
      </c>
      <c r="C54" s="1228"/>
      <c r="D54" s="1232" t="s">
        <v>176</v>
      </c>
      <c r="E54" s="1233">
        <v>15</v>
      </c>
      <c r="F54" s="825"/>
      <c r="G54" s="1229">
        <f>E54*F54</f>
        <v>0</v>
      </c>
    </row>
    <row r="55" spans="1:7" ht="47.25">
      <c r="A55" s="1243"/>
      <c r="B55" s="1230" t="s">
        <v>559</v>
      </c>
      <c r="C55" s="1228"/>
      <c r="D55" s="1232" t="s">
        <v>176</v>
      </c>
      <c r="E55" s="1233">
        <v>50</v>
      </c>
      <c r="F55" s="825"/>
      <c r="G55" s="1229">
        <f>E55*F55</f>
        <v>0</v>
      </c>
    </row>
    <row r="56" spans="1:7" ht="47.25">
      <c r="A56" s="1243"/>
      <c r="B56" s="1230" t="s">
        <v>560</v>
      </c>
      <c r="C56" s="1228"/>
      <c r="D56" s="1232" t="s">
        <v>176</v>
      </c>
      <c r="E56" s="1233">
        <v>220</v>
      </c>
      <c r="F56" s="825"/>
      <c r="G56" s="1229">
        <f>E56*F56</f>
        <v>0</v>
      </c>
    </row>
    <row r="57" spans="1:7" ht="15.75">
      <c r="A57" s="1243"/>
      <c r="B57" s="1230"/>
      <c r="C57" s="1228"/>
      <c r="D57" s="1232"/>
      <c r="E57" s="1233"/>
      <c r="F57" s="1222"/>
      <c r="G57" s="1229"/>
    </row>
    <row r="58" spans="1:7" ht="31.5">
      <c r="A58" s="1243" t="s">
        <v>49</v>
      </c>
      <c r="B58" s="1230" t="s">
        <v>1326</v>
      </c>
      <c r="C58" s="1231" t="s">
        <v>1328</v>
      </c>
      <c r="D58" s="1232" t="s">
        <v>11</v>
      </c>
      <c r="E58" s="1233">
        <v>1</v>
      </c>
      <c r="F58" s="825"/>
      <c r="G58" s="1229">
        <f>F58*E58</f>
        <v>0</v>
      </c>
    </row>
    <row r="59" spans="1:7" ht="15.75">
      <c r="A59" s="1243"/>
      <c r="B59" s="1230"/>
      <c r="C59" s="1228"/>
      <c r="D59" s="1232"/>
      <c r="E59" s="1233"/>
      <c r="F59" s="1222"/>
      <c r="G59" s="1229"/>
    </row>
    <row r="60" spans="1:7" ht="31.5">
      <c r="A60" s="1243" t="s">
        <v>65</v>
      </c>
      <c r="B60" s="1230" t="s">
        <v>1327</v>
      </c>
      <c r="C60" s="1231" t="s">
        <v>1328</v>
      </c>
      <c r="D60" s="1232" t="s">
        <v>11</v>
      </c>
      <c r="E60" s="1233">
        <v>1</v>
      </c>
      <c r="F60" s="825"/>
      <c r="G60" s="1229">
        <f>+F60*E60</f>
        <v>0</v>
      </c>
    </row>
    <row r="61" spans="1:7" ht="15.75">
      <c r="A61" s="1243"/>
      <c r="B61" s="1230"/>
      <c r="C61" s="1228"/>
      <c r="D61" s="1232"/>
      <c r="E61" s="1233"/>
      <c r="F61" s="1222"/>
      <c r="G61" s="1229"/>
    </row>
    <row r="62" spans="1:7" ht="15.75">
      <c r="A62" s="1243" t="s">
        <v>56</v>
      </c>
      <c r="B62" s="1230" t="s">
        <v>561</v>
      </c>
      <c r="C62" s="1231" t="s">
        <v>1328</v>
      </c>
      <c r="D62" s="1232" t="s">
        <v>11</v>
      </c>
      <c r="E62" s="1233">
        <v>4</v>
      </c>
      <c r="F62" s="825"/>
      <c r="G62" s="1229">
        <f>F62*E62</f>
        <v>0</v>
      </c>
    </row>
    <row r="63" spans="1:7" ht="15.75">
      <c r="A63" s="1243"/>
      <c r="B63" s="1230"/>
      <c r="C63" s="1228"/>
      <c r="D63" s="1232"/>
      <c r="E63" s="1233"/>
      <c r="F63" s="1222"/>
      <c r="G63" s="1229"/>
    </row>
    <row r="64" spans="1:7" ht="47.25">
      <c r="A64" s="1243" t="s">
        <v>350</v>
      </c>
      <c r="B64" s="1230" t="s">
        <v>562</v>
      </c>
      <c r="C64" s="1231" t="s">
        <v>1328</v>
      </c>
      <c r="D64" s="1232" t="s">
        <v>11</v>
      </c>
      <c r="E64" s="1233">
        <v>6</v>
      </c>
      <c r="F64" s="825"/>
      <c r="G64" s="1229">
        <f>F64*E64</f>
        <v>0</v>
      </c>
    </row>
    <row r="65" spans="1:7" ht="15.75">
      <c r="A65" s="1235"/>
      <c r="B65" s="1236" t="s">
        <v>539</v>
      </c>
      <c r="C65" s="1236"/>
      <c r="D65" s="1235"/>
      <c r="E65" s="1237"/>
      <c r="F65" s="1238"/>
      <c r="G65" s="1239">
        <f>SUM(G51:G64)</f>
        <v>0</v>
      </c>
    </row>
    <row r="66" spans="1:7" ht="15.75">
      <c r="A66" s="1228"/>
      <c r="B66" s="1230"/>
      <c r="C66" s="1228"/>
      <c r="D66" s="1228"/>
      <c r="E66" s="1228"/>
      <c r="F66" s="1228"/>
      <c r="G66" s="1228"/>
    </row>
    <row r="67" spans="1:7" ht="15.75">
      <c r="A67" s="1224">
        <v>5</v>
      </c>
      <c r="B67" s="1240" t="s">
        <v>680</v>
      </c>
      <c r="C67" s="1226" t="s">
        <v>1273</v>
      </c>
      <c r="D67" s="1241"/>
      <c r="E67" s="1241"/>
      <c r="F67" s="1241"/>
      <c r="G67" s="1242"/>
    </row>
    <row r="68" spans="1:7" ht="15.75">
      <c r="A68" s="1228"/>
      <c r="B68" s="1230"/>
      <c r="C68" s="1228"/>
      <c r="D68" s="1228"/>
      <c r="E68" s="1228"/>
      <c r="F68" s="1228"/>
      <c r="G68" s="1228"/>
    </row>
    <row r="69" spans="1:7" s="653" customFormat="1" ht="15.75">
      <c r="A69" s="1243" t="s">
        <v>49</v>
      </c>
      <c r="B69" s="1230" t="s">
        <v>563</v>
      </c>
      <c r="C69" s="1231" t="s">
        <v>1262</v>
      </c>
      <c r="D69" s="1228"/>
      <c r="E69" s="1228"/>
      <c r="F69" s="1228">
        <v>0</v>
      </c>
      <c r="G69" s="1228"/>
    </row>
    <row r="70" spans="1:7" ht="63">
      <c r="A70" s="1243"/>
      <c r="B70" s="1230" t="s">
        <v>564</v>
      </c>
      <c r="C70" s="1228"/>
      <c r="D70" s="1232"/>
      <c r="E70" s="1228"/>
      <c r="F70" s="1228"/>
      <c r="G70" s="1229"/>
    </row>
    <row r="71" spans="1:7" ht="31.5">
      <c r="A71" s="1243"/>
      <c r="B71" s="1230" t="s">
        <v>565</v>
      </c>
      <c r="C71" s="1228"/>
      <c r="D71" s="1232" t="s">
        <v>11</v>
      </c>
      <c r="E71" s="1233">
        <v>4</v>
      </c>
      <c r="F71" s="825"/>
      <c r="G71" s="1229">
        <f>E71*F71</f>
        <v>0</v>
      </c>
    </row>
    <row r="72" spans="1:7" ht="31.5">
      <c r="A72" s="1243"/>
      <c r="B72" s="1230" t="s">
        <v>566</v>
      </c>
      <c r="C72" s="1228"/>
      <c r="D72" s="1232" t="s">
        <v>11</v>
      </c>
      <c r="E72" s="1233">
        <v>4</v>
      </c>
      <c r="F72" s="825"/>
      <c r="G72" s="1229">
        <f>E72*F72</f>
        <v>0</v>
      </c>
    </row>
    <row r="73" spans="1:7" ht="15.75">
      <c r="A73" s="1243"/>
      <c r="B73" s="1230"/>
      <c r="C73" s="1228"/>
      <c r="D73" s="1232"/>
      <c r="E73" s="1233"/>
      <c r="F73" s="1222"/>
      <c r="G73" s="1229"/>
    </row>
    <row r="74" spans="1:7" ht="31.5">
      <c r="A74" s="1243" t="s">
        <v>52</v>
      </c>
      <c r="B74" s="1230" t="s">
        <v>567</v>
      </c>
      <c r="C74" s="1231" t="s">
        <v>1262</v>
      </c>
      <c r="D74" s="1232" t="s">
        <v>11</v>
      </c>
      <c r="E74" s="1233">
        <v>1</v>
      </c>
      <c r="F74" s="825"/>
      <c r="G74" s="1229">
        <f>E74*F74</f>
        <v>0</v>
      </c>
    </row>
    <row r="75" spans="1:7" ht="15.75">
      <c r="A75" s="1243"/>
      <c r="B75" s="1230"/>
      <c r="C75" s="1228"/>
      <c r="D75" s="1232"/>
      <c r="E75" s="1233"/>
      <c r="F75" s="1222"/>
      <c r="G75" s="1229"/>
    </row>
    <row r="76" spans="1:7" ht="31.5">
      <c r="A76" s="1243" t="s">
        <v>56</v>
      </c>
      <c r="B76" s="1230" t="s">
        <v>568</v>
      </c>
      <c r="C76" s="1231" t="s">
        <v>1262</v>
      </c>
      <c r="D76" s="1232" t="s">
        <v>11</v>
      </c>
      <c r="E76" s="1233">
        <v>1</v>
      </c>
      <c r="F76" s="825"/>
      <c r="G76" s="1229">
        <f>E76*F76</f>
        <v>0</v>
      </c>
    </row>
    <row r="77" spans="1:7" ht="15.75">
      <c r="A77" s="1235"/>
      <c r="B77" s="1236" t="s">
        <v>538</v>
      </c>
      <c r="C77" s="1236"/>
      <c r="D77" s="1235"/>
      <c r="E77" s="1237"/>
      <c r="F77" s="1238"/>
      <c r="G77" s="1239">
        <f>SUM(G69:G76)</f>
        <v>0</v>
      </c>
    </row>
    <row r="78" spans="1:7" ht="11.1" customHeight="1">
      <c r="A78" s="1207"/>
      <c r="B78" s="1240"/>
      <c r="C78" s="1241"/>
      <c r="D78" s="1241"/>
      <c r="E78" s="1241"/>
      <c r="F78" s="1241"/>
      <c r="G78" s="1242"/>
    </row>
    <row r="79" spans="1:7" ht="15.75">
      <c r="A79" s="1224">
        <v>6</v>
      </c>
      <c r="B79" s="1240" t="s">
        <v>681</v>
      </c>
      <c r="C79" s="1226" t="s">
        <v>1273</v>
      </c>
      <c r="D79" s="1241"/>
      <c r="E79" s="1241"/>
      <c r="F79" s="1241"/>
      <c r="G79" s="1242"/>
    </row>
    <row r="80" spans="1:7" ht="15.75">
      <c r="A80" s="1228"/>
      <c r="B80" s="1230"/>
      <c r="C80" s="1228"/>
      <c r="D80" s="1228"/>
      <c r="E80" s="1228"/>
      <c r="F80" s="1228"/>
      <c r="G80" s="1229"/>
    </row>
    <row r="81" spans="1:7" ht="15.75">
      <c r="A81" s="1243" t="s">
        <v>47</v>
      </c>
      <c r="B81" s="1230" t="s">
        <v>569</v>
      </c>
      <c r="C81" s="1231" t="s">
        <v>1262</v>
      </c>
      <c r="D81" s="1232"/>
      <c r="E81" s="1233"/>
      <c r="F81" s="1222"/>
      <c r="G81" s="1229"/>
    </row>
    <row r="82" spans="1:7" ht="15.75">
      <c r="A82" s="1243"/>
      <c r="B82" s="1230" t="s">
        <v>545</v>
      </c>
      <c r="C82" s="1228"/>
      <c r="D82" s="1232" t="s">
        <v>176</v>
      </c>
      <c r="E82" s="1233">
        <v>220</v>
      </c>
      <c r="F82" s="825"/>
      <c r="G82" s="1229">
        <f>E82*F82</f>
        <v>0</v>
      </c>
    </row>
    <row r="83" spans="1:7" ht="15.75">
      <c r="A83" s="1243"/>
      <c r="B83" s="1230" t="s">
        <v>546</v>
      </c>
      <c r="C83" s="1228"/>
      <c r="D83" s="1232" t="s">
        <v>176</v>
      </c>
      <c r="E83" s="1233">
        <v>555</v>
      </c>
      <c r="F83" s="825"/>
      <c r="G83" s="1229">
        <f>E83*F83</f>
        <v>0</v>
      </c>
    </row>
    <row r="84" spans="1:7" ht="15.75">
      <c r="A84" s="1243"/>
      <c r="B84" s="1230"/>
      <c r="C84" s="1228"/>
      <c r="D84" s="1232"/>
      <c r="E84" s="1233"/>
      <c r="F84" s="1222"/>
      <c r="G84" s="1229"/>
    </row>
    <row r="85" spans="1:7" ht="31.5">
      <c r="A85" s="1243" t="s">
        <v>49</v>
      </c>
      <c r="B85" s="1230" t="s">
        <v>570</v>
      </c>
      <c r="C85" s="1231" t="s">
        <v>1262</v>
      </c>
      <c r="D85" s="1232"/>
      <c r="E85" s="1233"/>
      <c r="F85" s="1222"/>
      <c r="G85" s="1229"/>
    </row>
    <row r="86" spans="1:7" ht="15.75">
      <c r="A86" s="1243"/>
      <c r="B86" s="1230" t="s">
        <v>545</v>
      </c>
      <c r="C86" s="1228"/>
      <c r="D86" s="1232" t="s">
        <v>176</v>
      </c>
      <c r="E86" s="1233">
        <v>220</v>
      </c>
      <c r="F86" s="825"/>
      <c r="G86" s="1229">
        <f>E86*F86</f>
        <v>0</v>
      </c>
    </row>
    <row r="87" spans="1:7" ht="15.75">
      <c r="A87" s="1243"/>
      <c r="B87" s="1230" t="s">
        <v>546</v>
      </c>
      <c r="C87" s="1228"/>
      <c r="D87" s="1232" t="s">
        <v>176</v>
      </c>
      <c r="E87" s="1233">
        <v>555</v>
      </c>
      <c r="F87" s="825"/>
      <c r="G87" s="1229">
        <f>E87*F87</f>
        <v>0</v>
      </c>
    </row>
    <row r="88" spans="1:7" ht="15.75">
      <c r="A88" s="1243"/>
      <c r="B88" s="1230"/>
      <c r="C88" s="1228"/>
      <c r="D88" s="1232"/>
      <c r="E88" s="1233"/>
      <c r="F88" s="1222"/>
      <c r="G88" s="1229"/>
    </row>
    <row r="89" spans="1:7" ht="15.75">
      <c r="A89" s="1243" t="s">
        <v>52</v>
      </c>
      <c r="B89" s="1230" t="s">
        <v>571</v>
      </c>
      <c r="C89" s="1231" t="s">
        <v>1262</v>
      </c>
      <c r="D89" s="1232"/>
      <c r="E89" s="1233"/>
      <c r="F89" s="1222"/>
      <c r="G89" s="1229"/>
    </row>
    <row r="90" spans="1:7" ht="47.25">
      <c r="A90" s="1243"/>
      <c r="B90" s="1230" t="s">
        <v>536</v>
      </c>
      <c r="C90" s="1228"/>
      <c r="D90" s="1232" t="s">
        <v>11</v>
      </c>
      <c r="E90" s="1233">
        <v>2</v>
      </c>
      <c r="F90" s="825"/>
      <c r="G90" s="1229">
        <f>E90*F90</f>
        <v>0</v>
      </c>
    </row>
    <row r="91" spans="1:7" ht="15.75">
      <c r="A91" s="1243"/>
      <c r="B91" s="1230"/>
      <c r="C91" s="1228"/>
      <c r="D91" s="1232"/>
      <c r="E91" s="1233"/>
      <c r="F91" s="1222"/>
      <c r="G91" s="1229"/>
    </row>
    <row r="92" spans="1:7" ht="15.75">
      <c r="A92" s="1243" t="s">
        <v>56</v>
      </c>
      <c r="B92" s="1230" t="s">
        <v>572</v>
      </c>
      <c r="C92" s="1231" t="s">
        <v>1262</v>
      </c>
      <c r="D92" s="1232"/>
      <c r="E92" s="1233"/>
      <c r="F92" s="1222"/>
      <c r="G92" s="1229"/>
    </row>
    <row r="93" spans="1:7" ht="31.5">
      <c r="A93" s="1243"/>
      <c r="B93" s="1230" t="s">
        <v>573</v>
      </c>
      <c r="C93" s="1228"/>
      <c r="D93" s="1232" t="s">
        <v>772</v>
      </c>
      <c r="E93" s="1233">
        <v>25</v>
      </c>
      <c r="F93" s="825"/>
      <c r="G93" s="1229">
        <f>E93*F93</f>
        <v>0</v>
      </c>
    </row>
    <row r="94" spans="1:7" ht="15.75">
      <c r="A94" s="1243"/>
      <c r="B94" s="1230"/>
      <c r="C94" s="1228"/>
      <c r="D94" s="1232"/>
      <c r="E94" s="1233"/>
      <c r="F94" s="1222"/>
      <c r="G94" s="1229"/>
    </row>
    <row r="95" spans="1:7" ht="31.5">
      <c r="A95" s="1243" t="s">
        <v>350</v>
      </c>
      <c r="B95" s="1230" t="s">
        <v>574</v>
      </c>
      <c r="C95" s="1231" t="s">
        <v>1262</v>
      </c>
      <c r="D95" s="1232"/>
      <c r="E95" s="1233"/>
      <c r="F95" s="1222"/>
      <c r="G95" s="1229"/>
    </row>
    <row r="96" spans="1:7" ht="63">
      <c r="A96" s="1243"/>
      <c r="B96" s="1230" t="s">
        <v>575</v>
      </c>
      <c r="C96" s="1228"/>
      <c r="D96" s="1232" t="s">
        <v>11</v>
      </c>
      <c r="E96" s="1233">
        <v>4</v>
      </c>
      <c r="F96" s="825"/>
      <c r="G96" s="1229">
        <f>E96*F96</f>
        <v>0</v>
      </c>
    </row>
    <row r="97" spans="1:7" ht="15.75">
      <c r="A97" s="1235"/>
      <c r="B97" s="1236" t="s">
        <v>535</v>
      </c>
      <c r="C97" s="1236"/>
      <c r="D97" s="1235"/>
      <c r="E97" s="1237"/>
      <c r="F97" s="1238"/>
      <c r="G97" s="1239">
        <f>SUM(G82:G96)</f>
        <v>0</v>
      </c>
    </row>
    <row r="98" spans="1:7">
      <c r="A98" s="1246"/>
      <c r="B98" s="1247"/>
      <c r="C98" s="1248"/>
      <c r="D98" s="1249"/>
      <c r="E98" s="1250"/>
      <c r="F98" s="1251"/>
      <c r="G98" s="1252"/>
    </row>
    <row r="99" spans="1:7">
      <c r="A99" s="1253"/>
      <c r="B99" s="1254"/>
      <c r="C99" s="1255"/>
      <c r="D99" s="1256"/>
      <c r="E99" s="1208"/>
      <c r="F99" s="1209"/>
      <c r="G99" s="1257"/>
    </row>
    <row r="100" spans="1:7" ht="18.75" customHeight="1">
      <c r="A100" s="1258"/>
      <c r="B100" s="1518" t="s">
        <v>607</v>
      </c>
      <c r="C100" s="1518"/>
      <c r="D100" s="1519"/>
      <c r="E100" s="1519"/>
      <c r="F100" s="1519"/>
      <c r="G100" s="1259"/>
    </row>
    <row r="101" spans="1:7" ht="15.75">
      <c r="A101" s="1260">
        <v>1</v>
      </c>
      <c r="B101" s="1261" t="s">
        <v>576</v>
      </c>
      <c r="C101" s="1262"/>
      <c r="D101" s="1263"/>
      <c r="E101" s="1264"/>
      <c r="F101" s="1264"/>
      <c r="G101" s="1265">
        <f>G13</f>
        <v>0</v>
      </c>
    </row>
    <row r="102" spans="1:7" ht="15.75">
      <c r="A102" s="1260">
        <v>2</v>
      </c>
      <c r="B102" s="1261" t="s">
        <v>577</v>
      </c>
      <c r="C102" s="1262"/>
      <c r="D102" s="1263"/>
      <c r="E102" s="1264"/>
      <c r="F102" s="1264"/>
      <c r="G102" s="1265">
        <f>G40</f>
        <v>0</v>
      </c>
    </row>
    <row r="103" spans="1:7" ht="15.75">
      <c r="A103" s="1260">
        <v>3</v>
      </c>
      <c r="B103" s="1261" t="s">
        <v>578</v>
      </c>
      <c r="C103" s="1262"/>
      <c r="D103" s="1263"/>
      <c r="E103" s="1264"/>
      <c r="F103" s="1264"/>
      <c r="G103" s="1265">
        <f>G47</f>
        <v>0</v>
      </c>
    </row>
    <row r="104" spans="1:7" ht="15.75">
      <c r="A104" s="1260">
        <v>4</v>
      </c>
      <c r="B104" s="1261" t="s">
        <v>579</v>
      </c>
      <c r="C104" s="1262"/>
      <c r="D104" s="1263"/>
      <c r="E104" s="1264"/>
      <c r="F104" s="1264"/>
      <c r="G104" s="1265">
        <f>G65</f>
        <v>0</v>
      </c>
    </row>
    <row r="105" spans="1:7" ht="15.75">
      <c r="A105" s="1260">
        <v>5</v>
      </c>
      <c r="B105" s="1261" t="s">
        <v>580</v>
      </c>
      <c r="C105" s="1262"/>
      <c r="D105" s="1263"/>
      <c r="E105" s="1264"/>
      <c r="F105" s="1264"/>
      <c r="G105" s="1265">
        <f>G77</f>
        <v>0</v>
      </c>
    </row>
    <row r="106" spans="1:7" ht="15.75">
      <c r="A106" s="1260">
        <v>6</v>
      </c>
      <c r="B106" s="1266" t="s">
        <v>581</v>
      </c>
      <c r="C106" s="1266"/>
      <c r="D106" s="1263"/>
      <c r="E106" s="1267"/>
      <c r="F106" s="1268"/>
      <c r="G106" s="1268">
        <f>G97</f>
        <v>0</v>
      </c>
    </row>
    <row r="107" spans="1:7" ht="15.75">
      <c r="A107" s="1269"/>
      <c r="B107" s="1270" t="s">
        <v>610</v>
      </c>
      <c r="C107" s="1270"/>
      <c r="D107" s="1271"/>
      <c r="E107" s="1272"/>
      <c r="F107" s="1273"/>
      <c r="G107" s="1274">
        <f>SUM(G101:G106)</f>
        <v>0</v>
      </c>
    </row>
    <row r="108" spans="1:7">
      <c r="A108" s="1207"/>
      <c r="B108" s="1211"/>
      <c r="C108" s="1206"/>
      <c r="D108" s="1256"/>
      <c r="E108" s="1208"/>
      <c r="F108" s="1209"/>
      <c r="G108" s="1210"/>
    </row>
    <row r="109" spans="1:7" ht="15.75">
      <c r="A109" s="1212"/>
      <c r="B109" s="1275" t="s">
        <v>1120</v>
      </c>
      <c r="C109" s="1213"/>
      <c r="D109" s="1214"/>
      <c r="E109" s="1215"/>
      <c r="F109" s="1216"/>
      <c r="G109" s="1217"/>
    </row>
    <row r="110" spans="1:7">
      <c r="A110" s="1276"/>
      <c r="B110" s="1277"/>
      <c r="C110" s="1278"/>
      <c r="D110" s="1279"/>
      <c r="E110" s="1280"/>
      <c r="F110" s="1281"/>
      <c r="G110" s="1281"/>
    </row>
    <row r="111" spans="1:7" ht="15.75" customHeight="1">
      <c r="A111" s="1282" t="s">
        <v>60</v>
      </c>
      <c r="B111" s="1240" t="s">
        <v>682</v>
      </c>
      <c r="C111" s="1226" t="s">
        <v>1273</v>
      </c>
      <c r="D111" s="1241"/>
      <c r="E111" s="1241"/>
      <c r="F111" s="1241"/>
      <c r="G111" s="1242"/>
    </row>
    <row r="112" spans="1:7" ht="15.75">
      <c r="A112" s="1228"/>
      <c r="B112" s="1230"/>
      <c r="C112" s="1228"/>
      <c r="D112" s="1228"/>
      <c r="E112" s="1228"/>
      <c r="F112" s="1228"/>
      <c r="G112" s="1228"/>
    </row>
    <row r="113" spans="1:7" ht="63">
      <c r="A113" s="1243" t="s">
        <v>60</v>
      </c>
      <c r="B113" s="1230" t="s">
        <v>582</v>
      </c>
      <c r="C113" s="1231" t="s">
        <v>1263</v>
      </c>
      <c r="D113" s="1232"/>
      <c r="E113" s="1233"/>
      <c r="F113" s="1222"/>
      <c r="G113" s="1229"/>
    </row>
    <row r="114" spans="1:7" ht="15.75">
      <c r="A114" s="1243"/>
      <c r="B114" s="1230" t="s">
        <v>648</v>
      </c>
      <c r="C114" s="1228"/>
      <c r="D114" s="1232" t="s">
        <v>176</v>
      </c>
      <c r="E114" s="1233">
        <v>60</v>
      </c>
      <c r="F114" s="825"/>
      <c r="G114" s="1229">
        <f>F114*E114</f>
        <v>0</v>
      </c>
    </row>
    <row r="115" spans="1:7" ht="15.75">
      <c r="A115" s="1243"/>
      <c r="B115" s="1230" t="s">
        <v>649</v>
      </c>
      <c r="C115" s="1228"/>
      <c r="D115" s="1232" t="s">
        <v>176</v>
      </c>
      <c r="E115" s="1233">
        <v>20</v>
      </c>
      <c r="F115" s="825"/>
      <c r="G115" s="1229">
        <f>F115*E115</f>
        <v>0</v>
      </c>
    </row>
    <row r="116" spans="1:7" ht="15.75">
      <c r="A116" s="1243"/>
      <c r="B116" s="1230" t="s">
        <v>650</v>
      </c>
      <c r="C116" s="1228"/>
      <c r="D116" s="1232" t="s">
        <v>176</v>
      </c>
      <c r="E116" s="1233">
        <v>20</v>
      </c>
      <c r="F116" s="825"/>
      <c r="G116" s="1229">
        <f>F116*E116</f>
        <v>0</v>
      </c>
    </row>
    <row r="117" spans="1:7" ht="15.75">
      <c r="A117" s="1243"/>
      <c r="B117" s="1230"/>
      <c r="C117" s="1228"/>
      <c r="D117" s="1232"/>
      <c r="E117" s="1233"/>
      <c r="F117" s="1222"/>
      <c r="G117" s="1229"/>
    </row>
    <row r="118" spans="1:7" ht="31.5">
      <c r="A118" s="1243" t="s">
        <v>63</v>
      </c>
      <c r="B118" s="1230" t="s">
        <v>651</v>
      </c>
      <c r="C118" s="1231" t="s">
        <v>1263</v>
      </c>
      <c r="D118" s="1232" t="s">
        <v>898</v>
      </c>
      <c r="E118" s="1233">
        <v>1</v>
      </c>
      <c r="F118" s="825"/>
      <c r="G118" s="1229">
        <f>E118*F118</f>
        <v>0</v>
      </c>
    </row>
    <row r="119" spans="1:7" ht="15.75">
      <c r="A119" s="1243"/>
      <c r="B119" s="1230"/>
      <c r="C119" s="1228"/>
      <c r="D119" s="1232"/>
      <c r="E119" s="1233"/>
      <c r="F119" s="1222"/>
      <c r="G119" s="1229"/>
    </row>
    <row r="120" spans="1:7" ht="31.5">
      <c r="A120" s="1243" t="s">
        <v>65</v>
      </c>
      <c r="B120" s="1230" t="s">
        <v>652</v>
      </c>
      <c r="C120" s="1231" t="s">
        <v>1263</v>
      </c>
      <c r="D120" s="1232" t="s">
        <v>898</v>
      </c>
      <c r="E120" s="1233">
        <v>1</v>
      </c>
      <c r="F120" s="825"/>
      <c r="G120" s="1229">
        <f>E120*F120</f>
        <v>0</v>
      </c>
    </row>
    <row r="121" spans="1:7" ht="15.75">
      <c r="A121" s="1243"/>
      <c r="B121" s="1230"/>
      <c r="C121" s="1228"/>
      <c r="D121" s="1232"/>
      <c r="E121" s="1233"/>
      <c r="F121" s="1222"/>
      <c r="G121" s="1229"/>
    </row>
    <row r="122" spans="1:7" ht="31.5">
      <c r="A122" s="1243" t="s">
        <v>368</v>
      </c>
      <c r="B122" s="1230" t="s">
        <v>653</v>
      </c>
      <c r="C122" s="1231" t="s">
        <v>1263</v>
      </c>
      <c r="D122" s="1232"/>
      <c r="E122" s="1233"/>
      <c r="F122" s="1222"/>
      <c r="G122" s="1229"/>
    </row>
    <row r="123" spans="1:7" ht="15.75">
      <c r="A123" s="1243"/>
      <c r="B123" s="1230" t="s">
        <v>654</v>
      </c>
      <c r="C123" s="1228"/>
      <c r="D123" s="1232" t="s">
        <v>11</v>
      </c>
      <c r="E123" s="1233">
        <v>3</v>
      </c>
      <c r="F123" s="825"/>
      <c r="G123" s="1229">
        <f>F123*E123</f>
        <v>0</v>
      </c>
    </row>
    <row r="124" spans="1:7" ht="15.75">
      <c r="A124" s="1243"/>
      <c r="B124" s="1230" t="s">
        <v>655</v>
      </c>
      <c r="C124" s="1228"/>
      <c r="D124" s="1232" t="s">
        <v>11</v>
      </c>
      <c r="E124" s="1233">
        <v>13</v>
      </c>
      <c r="F124" s="1234"/>
      <c r="G124" s="1229">
        <f>F124*E124</f>
        <v>0</v>
      </c>
    </row>
    <row r="125" spans="1:7" ht="15.75">
      <c r="A125" s="1243"/>
      <c r="B125" s="1230"/>
      <c r="C125" s="1228"/>
      <c r="D125" s="1232"/>
      <c r="E125" s="1233"/>
      <c r="F125" s="1222"/>
      <c r="G125" s="1229"/>
    </row>
    <row r="126" spans="1:7" ht="63">
      <c r="A126" s="1243" t="s">
        <v>70</v>
      </c>
      <c r="B126" s="1230" t="s">
        <v>656</v>
      </c>
      <c r="C126" s="1231" t="s">
        <v>1263</v>
      </c>
      <c r="D126" s="1232"/>
      <c r="E126" s="1233"/>
      <c r="F126" s="1222"/>
      <c r="G126" s="1229"/>
    </row>
    <row r="127" spans="1:7" ht="15.75">
      <c r="A127" s="1243"/>
      <c r="B127" s="1230" t="s">
        <v>657</v>
      </c>
      <c r="C127" s="1228"/>
      <c r="D127" s="1232" t="s">
        <v>176</v>
      </c>
      <c r="E127" s="1233">
        <v>80</v>
      </c>
      <c r="F127" s="825"/>
      <c r="G127" s="1229">
        <f>F127*E127</f>
        <v>0</v>
      </c>
    </row>
    <row r="128" spans="1:7" ht="15.75">
      <c r="A128" s="1243"/>
      <c r="B128" s="1230" t="s">
        <v>658</v>
      </c>
      <c r="C128" s="1228"/>
      <c r="D128" s="1232" t="s">
        <v>176</v>
      </c>
      <c r="E128" s="1233">
        <v>20</v>
      </c>
      <c r="F128" s="825"/>
      <c r="G128" s="1229">
        <f>F128*E128</f>
        <v>0</v>
      </c>
    </row>
    <row r="129" spans="1:7" ht="15.75">
      <c r="A129" s="1235"/>
      <c r="B129" s="1236" t="s">
        <v>687</v>
      </c>
      <c r="C129" s="1236"/>
      <c r="D129" s="1235"/>
      <c r="E129" s="1237"/>
      <c r="F129" s="1238"/>
      <c r="G129" s="1239">
        <f>SUM(G113:G128)</f>
        <v>0</v>
      </c>
    </row>
    <row r="130" spans="1:7">
      <c r="A130" s="1283"/>
      <c r="B130" s="1284"/>
      <c r="C130" s="1284"/>
      <c r="D130" s="1285"/>
      <c r="E130" s="1286"/>
      <c r="F130" s="1286"/>
      <c r="G130" s="1286"/>
    </row>
    <row r="131" spans="1:7" ht="15.75">
      <c r="A131" s="1224" t="s">
        <v>63</v>
      </c>
      <c r="B131" s="1240" t="s">
        <v>683</v>
      </c>
      <c r="C131" s="1226" t="s">
        <v>1273</v>
      </c>
      <c r="D131" s="1241"/>
      <c r="E131" s="1241"/>
      <c r="F131" s="1241"/>
      <c r="G131" s="1242"/>
    </row>
    <row r="132" spans="1:7" ht="15.75">
      <c r="A132" s="1228"/>
      <c r="B132" s="1230"/>
      <c r="C132" s="1228"/>
      <c r="D132" s="1228"/>
      <c r="E132" s="1228"/>
      <c r="F132" s="1228"/>
      <c r="G132" s="1229"/>
    </row>
    <row r="133" spans="1:7" ht="47.25">
      <c r="A133" s="1243" t="s">
        <v>60</v>
      </c>
      <c r="B133" s="1230" t="s">
        <v>583</v>
      </c>
      <c r="C133" s="1231" t="s">
        <v>1263</v>
      </c>
      <c r="D133" s="1232" t="s">
        <v>11</v>
      </c>
      <c r="E133" s="1233">
        <v>8</v>
      </c>
      <c r="F133" s="825"/>
      <c r="G133" s="1229">
        <f>F133*E133</f>
        <v>0</v>
      </c>
    </row>
    <row r="134" spans="1:7" ht="15.75">
      <c r="A134" s="1243"/>
      <c r="B134" s="1230"/>
      <c r="C134" s="1228"/>
      <c r="D134" s="1232"/>
      <c r="E134" s="1233"/>
      <c r="F134" s="1222"/>
      <c r="G134" s="1229"/>
    </row>
    <row r="135" spans="1:7" ht="63">
      <c r="A135" s="1243" t="s">
        <v>63</v>
      </c>
      <c r="B135" s="1230" t="s">
        <v>584</v>
      </c>
      <c r="C135" s="1231" t="s">
        <v>1263</v>
      </c>
      <c r="D135" s="1232" t="s">
        <v>11</v>
      </c>
      <c r="E135" s="1233">
        <v>1</v>
      </c>
      <c r="F135" s="825"/>
      <c r="G135" s="1229">
        <f>F135*E135</f>
        <v>0</v>
      </c>
    </row>
    <row r="136" spans="1:7" ht="15.75">
      <c r="A136" s="1243"/>
      <c r="B136" s="1230"/>
      <c r="C136" s="1228"/>
      <c r="D136" s="1232"/>
      <c r="E136" s="1233"/>
      <c r="F136" s="1222"/>
      <c r="G136" s="1229"/>
    </row>
    <row r="137" spans="1:7" ht="47.25">
      <c r="A137" s="1243" t="s">
        <v>65</v>
      </c>
      <c r="B137" s="1230" t="s">
        <v>585</v>
      </c>
      <c r="C137" s="1231" t="s">
        <v>1263</v>
      </c>
      <c r="D137" s="1232" t="s">
        <v>11</v>
      </c>
      <c r="E137" s="1233">
        <v>1</v>
      </c>
      <c r="F137" s="825"/>
      <c r="G137" s="1229">
        <f>F137*E137</f>
        <v>0</v>
      </c>
    </row>
    <row r="138" spans="1:7" ht="15.75">
      <c r="A138" s="1243"/>
      <c r="B138" s="1230"/>
      <c r="C138" s="1228"/>
      <c r="D138" s="1232"/>
      <c r="E138" s="1233"/>
      <c r="F138" s="1222"/>
      <c r="G138" s="1229"/>
    </row>
    <row r="139" spans="1:7" ht="47.25">
      <c r="A139" s="1243" t="s">
        <v>368</v>
      </c>
      <c r="B139" s="1230" t="s">
        <v>586</v>
      </c>
      <c r="C139" s="1231" t="s">
        <v>1263</v>
      </c>
      <c r="D139" s="1232" t="s">
        <v>11</v>
      </c>
      <c r="E139" s="1233">
        <v>7</v>
      </c>
      <c r="F139" s="825"/>
      <c r="G139" s="1229">
        <f>F139*E139</f>
        <v>0</v>
      </c>
    </row>
    <row r="140" spans="1:7" ht="15.75">
      <c r="A140" s="1243"/>
      <c r="B140" s="1230"/>
      <c r="C140" s="1228"/>
      <c r="D140" s="1232"/>
      <c r="E140" s="1233"/>
      <c r="F140" s="1222"/>
      <c r="G140" s="1229"/>
    </row>
    <row r="141" spans="1:7" ht="47.25">
      <c r="A141" s="1243" t="s">
        <v>70</v>
      </c>
      <c r="B141" s="1230" t="s">
        <v>587</v>
      </c>
      <c r="C141" s="1231" t="s">
        <v>1263</v>
      </c>
      <c r="D141" s="1232" t="s">
        <v>11</v>
      </c>
      <c r="E141" s="1233">
        <v>1</v>
      </c>
      <c r="F141" s="825"/>
      <c r="G141" s="1229">
        <f>F141*E141</f>
        <v>0</v>
      </c>
    </row>
    <row r="142" spans="1:7" ht="15.75">
      <c r="A142" s="1243"/>
      <c r="B142" s="1230"/>
      <c r="C142" s="1228"/>
      <c r="D142" s="1232"/>
      <c r="E142" s="1233"/>
      <c r="F142" s="1222"/>
      <c r="G142" s="1229"/>
    </row>
    <row r="143" spans="1:7" ht="63">
      <c r="A143" s="1243" t="s">
        <v>73</v>
      </c>
      <c r="B143" s="1230" t="s">
        <v>659</v>
      </c>
      <c r="C143" s="1231" t="s">
        <v>1263</v>
      </c>
      <c r="D143" s="1232" t="s">
        <v>11</v>
      </c>
      <c r="E143" s="1233">
        <v>3</v>
      </c>
      <c r="F143" s="825"/>
      <c r="G143" s="1229">
        <f>F143*E143</f>
        <v>0</v>
      </c>
    </row>
    <row r="144" spans="1:7" ht="15.75">
      <c r="A144" s="1243"/>
      <c r="B144" s="1230"/>
      <c r="C144" s="1228"/>
      <c r="D144" s="1232"/>
      <c r="E144" s="1233"/>
      <c r="F144" s="1222"/>
      <c r="G144" s="1229"/>
    </row>
    <row r="145" spans="1:7" ht="63">
      <c r="A145" s="1243" t="s">
        <v>22</v>
      </c>
      <c r="B145" s="1230" t="s">
        <v>588</v>
      </c>
      <c r="C145" s="1231" t="s">
        <v>1263</v>
      </c>
      <c r="D145" s="1232" t="s">
        <v>11</v>
      </c>
      <c r="E145" s="1233">
        <v>2</v>
      </c>
      <c r="F145" s="825"/>
      <c r="G145" s="1229">
        <f>F145*E145</f>
        <v>0</v>
      </c>
    </row>
    <row r="146" spans="1:7" ht="15.75">
      <c r="A146" s="1243"/>
      <c r="B146" s="1230"/>
      <c r="C146" s="1228"/>
      <c r="D146" s="1232"/>
      <c r="E146" s="1233"/>
      <c r="F146" s="1222"/>
      <c r="G146" s="1229"/>
    </row>
    <row r="147" spans="1:7" ht="47.25">
      <c r="A147" s="1243" t="s">
        <v>23</v>
      </c>
      <c r="B147" s="1230" t="s">
        <v>589</v>
      </c>
      <c r="C147" s="1231" t="s">
        <v>1263</v>
      </c>
      <c r="D147" s="1232" t="s">
        <v>11</v>
      </c>
      <c r="E147" s="1233">
        <v>1</v>
      </c>
      <c r="F147" s="825"/>
      <c r="G147" s="1229">
        <f>F147*E147</f>
        <v>0</v>
      </c>
    </row>
    <row r="148" spans="1:7" ht="15.75">
      <c r="A148" s="1235"/>
      <c r="B148" s="1236" t="s">
        <v>542</v>
      </c>
      <c r="C148" s="1236"/>
      <c r="D148" s="1235"/>
      <c r="E148" s="1237"/>
      <c r="F148" s="1238"/>
      <c r="G148" s="1239">
        <f>SUM(G133:G147)</f>
        <v>0</v>
      </c>
    </row>
    <row r="149" spans="1:7" ht="15.75">
      <c r="A149" s="1228"/>
      <c r="B149" s="1230"/>
      <c r="C149" s="1228"/>
      <c r="D149" s="1228"/>
      <c r="E149" s="1228"/>
      <c r="F149" s="1228"/>
      <c r="G149" s="1228"/>
    </row>
    <row r="150" spans="1:7" ht="15.75">
      <c r="A150" s="1224" t="s">
        <v>65</v>
      </c>
      <c r="B150" s="1240" t="s">
        <v>684</v>
      </c>
      <c r="C150" s="1226" t="s">
        <v>1273</v>
      </c>
      <c r="D150" s="1241"/>
      <c r="E150" s="1241"/>
      <c r="F150" s="1241"/>
      <c r="G150" s="1242"/>
    </row>
    <row r="151" spans="1:7" ht="15.75">
      <c r="A151" s="1228"/>
      <c r="B151" s="1230"/>
      <c r="C151" s="1228"/>
      <c r="D151" s="1228"/>
      <c r="E151" s="1228"/>
      <c r="F151" s="1228"/>
      <c r="G151" s="1229"/>
    </row>
    <row r="152" spans="1:7" ht="47.25">
      <c r="A152" s="1243" t="s">
        <v>60</v>
      </c>
      <c r="B152" s="1230" t="s">
        <v>660</v>
      </c>
      <c r="C152" s="1231" t="s">
        <v>1263</v>
      </c>
      <c r="D152" s="1232" t="s">
        <v>11</v>
      </c>
      <c r="E152" s="1233">
        <v>9</v>
      </c>
      <c r="F152" s="825"/>
      <c r="G152" s="1229">
        <f>F152*E152</f>
        <v>0</v>
      </c>
    </row>
    <row r="153" spans="1:7" ht="15.75">
      <c r="A153" s="1243"/>
      <c r="B153" s="1230"/>
      <c r="C153" s="1228"/>
      <c r="D153" s="1232"/>
      <c r="E153" s="1233"/>
      <c r="F153" s="1222"/>
      <c r="G153" s="1229"/>
    </row>
    <row r="154" spans="1:7" ht="47.25">
      <c r="A154" s="1243" t="s">
        <v>63</v>
      </c>
      <c r="B154" s="1230" t="s">
        <v>661</v>
      </c>
      <c r="C154" s="1231" t="s">
        <v>1263</v>
      </c>
      <c r="D154" s="1232" t="s">
        <v>11</v>
      </c>
      <c r="E154" s="1233">
        <v>3</v>
      </c>
      <c r="F154" s="825"/>
      <c r="G154" s="1229">
        <f>F154*E154</f>
        <v>0</v>
      </c>
    </row>
    <row r="155" spans="1:7" ht="15.75">
      <c r="A155" s="1243"/>
      <c r="B155" s="1230"/>
      <c r="C155" s="1228"/>
      <c r="D155" s="1232"/>
      <c r="E155" s="1233"/>
      <c r="F155" s="1233"/>
      <c r="G155" s="1229"/>
    </row>
    <row r="156" spans="1:7" ht="47.25">
      <c r="A156" s="1243" t="s">
        <v>65</v>
      </c>
      <c r="B156" s="1230" t="s">
        <v>662</v>
      </c>
      <c r="C156" s="1231" t="s">
        <v>1263</v>
      </c>
      <c r="D156" s="1232" t="s">
        <v>11</v>
      </c>
      <c r="E156" s="1233">
        <v>1</v>
      </c>
      <c r="F156" s="825"/>
      <c r="G156" s="1229">
        <f>F156*E156</f>
        <v>0</v>
      </c>
    </row>
    <row r="157" spans="1:7" ht="15.75">
      <c r="A157" s="1243"/>
      <c r="B157" s="1230"/>
      <c r="C157" s="1228"/>
      <c r="D157" s="1232"/>
      <c r="E157" s="1233"/>
      <c r="F157" s="1222"/>
      <c r="G157" s="1229"/>
    </row>
    <row r="158" spans="1:7" ht="63">
      <c r="A158" s="1243" t="s">
        <v>368</v>
      </c>
      <c r="B158" s="1230" t="s">
        <v>590</v>
      </c>
      <c r="C158" s="1231" t="s">
        <v>1263</v>
      </c>
      <c r="D158" s="1232" t="s">
        <v>11</v>
      </c>
      <c r="E158" s="1233">
        <v>3</v>
      </c>
      <c r="F158" s="825"/>
      <c r="G158" s="1229">
        <f>F158*E158</f>
        <v>0</v>
      </c>
    </row>
    <row r="159" spans="1:7" ht="15.75">
      <c r="A159" s="1243"/>
      <c r="B159" s="1230"/>
      <c r="C159" s="1228"/>
      <c r="D159" s="1232"/>
      <c r="E159" s="1233"/>
      <c r="F159" s="1222"/>
      <c r="G159" s="1229"/>
    </row>
    <row r="160" spans="1:7" ht="31.5">
      <c r="A160" s="1243" t="s">
        <v>70</v>
      </c>
      <c r="B160" s="1230" t="s">
        <v>663</v>
      </c>
      <c r="C160" s="1231" t="s">
        <v>1263</v>
      </c>
      <c r="D160" s="1232"/>
      <c r="E160" s="1233"/>
      <c r="F160" s="1222"/>
      <c r="G160" s="1229"/>
    </row>
    <row r="161" spans="1:7" ht="15.75">
      <c r="A161" s="1243"/>
      <c r="B161" s="1230" t="s">
        <v>664</v>
      </c>
      <c r="C161" s="1228"/>
      <c r="D161" s="1232"/>
      <c r="E161" s="1233"/>
      <c r="F161" s="1222"/>
      <c r="G161" s="1229"/>
    </row>
    <row r="162" spans="1:7" ht="15.75">
      <c r="A162" s="1243"/>
      <c r="B162" s="1230" t="s">
        <v>665</v>
      </c>
      <c r="C162" s="1228"/>
      <c r="D162" s="1232" t="s">
        <v>11</v>
      </c>
      <c r="E162" s="1233">
        <v>7</v>
      </c>
      <c r="F162" s="825"/>
      <c r="G162" s="1229">
        <f>F162*E162</f>
        <v>0</v>
      </c>
    </row>
    <row r="163" spans="1:7" ht="15.75">
      <c r="A163" s="1243"/>
      <c r="B163" s="1230" t="s">
        <v>666</v>
      </c>
      <c r="C163" s="1228"/>
      <c r="D163" s="1232" t="s">
        <v>11</v>
      </c>
      <c r="E163" s="1233">
        <v>39</v>
      </c>
      <c r="F163" s="825"/>
      <c r="G163" s="1229">
        <f>F163*E163</f>
        <v>0</v>
      </c>
    </row>
    <row r="164" spans="1:7" ht="15.75">
      <c r="A164" s="1243"/>
      <c r="B164" s="1230" t="s">
        <v>667</v>
      </c>
      <c r="C164" s="1228"/>
      <c r="D164" s="1232" t="s">
        <v>11</v>
      </c>
      <c r="E164" s="1233">
        <v>3</v>
      </c>
      <c r="F164" s="825"/>
      <c r="G164" s="1229">
        <f>F164*E164</f>
        <v>0</v>
      </c>
    </row>
    <row r="165" spans="1:7" ht="15.75">
      <c r="A165" s="1243"/>
      <c r="B165" s="1230"/>
      <c r="C165" s="1228"/>
      <c r="D165" s="1232"/>
      <c r="E165" s="1233"/>
      <c r="F165" s="1222"/>
      <c r="G165" s="1229"/>
    </row>
    <row r="166" spans="1:7" ht="47.25">
      <c r="A166" s="1243" t="s">
        <v>73</v>
      </c>
      <c r="B166" s="1230" t="s">
        <v>668</v>
      </c>
      <c r="C166" s="1231" t="s">
        <v>1263</v>
      </c>
      <c r="D166" s="1232"/>
      <c r="E166" s="1233"/>
      <c r="F166" s="1222"/>
      <c r="G166" s="1229"/>
    </row>
    <row r="167" spans="1:7" ht="31.5">
      <c r="A167" s="1243"/>
      <c r="B167" s="1230" t="s">
        <v>591</v>
      </c>
      <c r="C167" s="1228"/>
      <c r="D167" s="1232" t="s">
        <v>11</v>
      </c>
      <c r="E167" s="1233">
        <v>7</v>
      </c>
      <c r="F167" s="825"/>
      <c r="G167" s="1229">
        <f t="shared" ref="G167:G177" si="0">E167*F167</f>
        <v>0</v>
      </c>
    </row>
    <row r="168" spans="1:7" ht="31.5">
      <c r="A168" s="1243"/>
      <c r="B168" s="1230" t="s">
        <v>592</v>
      </c>
      <c r="C168" s="1228"/>
      <c r="D168" s="1232" t="s">
        <v>11</v>
      </c>
      <c r="E168" s="1233">
        <v>8</v>
      </c>
      <c r="F168" s="825"/>
      <c r="G168" s="1229">
        <f t="shared" si="0"/>
        <v>0</v>
      </c>
    </row>
    <row r="169" spans="1:7" ht="31.5">
      <c r="A169" s="1243"/>
      <c r="B169" s="1230" t="s">
        <v>593</v>
      </c>
      <c r="C169" s="1228"/>
      <c r="D169" s="1232" t="s">
        <v>11</v>
      </c>
      <c r="E169" s="1233">
        <v>8</v>
      </c>
      <c r="F169" s="825"/>
      <c r="G169" s="1229">
        <f t="shared" si="0"/>
        <v>0</v>
      </c>
    </row>
    <row r="170" spans="1:7" ht="31.5">
      <c r="A170" s="1243"/>
      <c r="B170" s="1230" t="s">
        <v>594</v>
      </c>
      <c r="C170" s="1228"/>
      <c r="D170" s="1232" t="s">
        <v>11</v>
      </c>
      <c r="E170" s="1233">
        <v>8</v>
      </c>
      <c r="F170" s="825"/>
      <c r="G170" s="1229">
        <f t="shared" si="0"/>
        <v>0</v>
      </c>
    </row>
    <row r="171" spans="1:7" ht="15.75">
      <c r="A171" s="1243"/>
      <c r="B171" s="1230" t="s">
        <v>595</v>
      </c>
      <c r="C171" s="1228"/>
      <c r="D171" s="1232" t="s">
        <v>11</v>
      </c>
      <c r="E171" s="1233">
        <v>9</v>
      </c>
      <c r="F171" s="825"/>
      <c r="G171" s="1229">
        <f t="shared" si="0"/>
        <v>0</v>
      </c>
    </row>
    <row r="172" spans="1:7" ht="15.75">
      <c r="A172" s="1243"/>
      <c r="B172" s="1230" t="s">
        <v>596</v>
      </c>
      <c r="C172" s="1228"/>
      <c r="D172" s="1232" t="s">
        <v>11</v>
      </c>
      <c r="E172" s="1233">
        <v>2</v>
      </c>
      <c r="F172" s="825"/>
      <c r="G172" s="1229">
        <f t="shared" si="0"/>
        <v>0</v>
      </c>
    </row>
    <row r="173" spans="1:7" ht="15.75">
      <c r="A173" s="1243"/>
      <c r="B173" s="1230" t="s">
        <v>597</v>
      </c>
      <c r="C173" s="1228"/>
      <c r="D173" s="1232" t="s">
        <v>11</v>
      </c>
      <c r="E173" s="1233">
        <v>4</v>
      </c>
      <c r="F173" s="825"/>
      <c r="G173" s="1229">
        <f t="shared" si="0"/>
        <v>0</v>
      </c>
    </row>
    <row r="174" spans="1:7" ht="31.5">
      <c r="A174" s="1243"/>
      <c r="B174" s="1230" t="s">
        <v>598</v>
      </c>
      <c r="C174" s="1228"/>
      <c r="D174" s="1232" t="s">
        <v>11</v>
      </c>
      <c r="E174" s="1233">
        <v>1</v>
      </c>
      <c r="F174" s="825"/>
      <c r="G174" s="1229">
        <f t="shared" si="0"/>
        <v>0</v>
      </c>
    </row>
    <row r="175" spans="1:7" ht="31.5">
      <c r="A175" s="1243"/>
      <c r="B175" s="1230" t="s">
        <v>599</v>
      </c>
      <c r="C175" s="1228"/>
      <c r="D175" s="1232" t="s">
        <v>11</v>
      </c>
      <c r="E175" s="1233">
        <v>1</v>
      </c>
      <c r="F175" s="825"/>
      <c r="G175" s="1229">
        <f t="shared" si="0"/>
        <v>0</v>
      </c>
    </row>
    <row r="176" spans="1:7" ht="31.5">
      <c r="A176" s="1243"/>
      <c r="B176" s="1230" t="s">
        <v>600</v>
      </c>
      <c r="C176" s="1228"/>
      <c r="D176" s="1232" t="s">
        <v>11</v>
      </c>
      <c r="E176" s="1233">
        <v>1</v>
      </c>
      <c r="F176" s="825"/>
      <c r="G176" s="1229">
        <f t="shared" si="0"/>
        <v>0</v>
      </c>
    </row>
    <row r="177" spans="1:7" ht="15.75">
      <c r="A177" s="1243"/>
      <c r="B177" s="1230" t="s">
        <v>601</v>
      </c>
      <c r="C177" s="1228"/>
      <c r="D177" s="1232" t="s">
        <v>11</v>
      </c>
      <c r="E177" s="1233">
        <v>7</v>
      </c>
      <c r="F177" s="825"/>
      <c r="G177" s="1229">
        <f t="shared" si="0"/>
        <v>0</v>
      </c>
    </row>
    <row r="178" spans="1:7" ht="15.75">
      <c r="A178" s="1235"/>
      <c r="B178" s="1236" t="s">
        <v>541</v>
      </c>
      <c r="C178" s="1236"/>
      <c r="D178" s="1235"/>
      <c r="E178" s="1237"/>
      <c r="F178" s="1238"/>
      <c r="G178" s="1239">
        <f>SUM(G152:G177)</f>
        <v>0</v>
      </c>
    </row>
    <row r="179" spans="1:7" ht="15.75">
      <c r="A179" s="1228"/>
      <c r="B179" s="1230"/>
      <c r="C179" s="1228"/>
      <c r="D179" s="1228"/>
      <c r="E179" s="1228"/>
      <c r="F179" s="1228"/>
      <c r="G179" s="1228"/>
    </row>
    <row r="180" spans="1:7" ht="15.75">
      <c r="A180" s="1224" t="s">
        <v>368</v>
      </c>
      <c r="B180" s="1240" t="s">
        <v>685</v>
      </c>
      <c r="C180" s="1226" t="s">
        <v>1273</v>
      </c>
      <c r="D180" s="1241"/>
      <c r="E180" s="1241"/>
      <c r="F180" s="1241"/>
      <c r="G180" s="1242"/>
    </row>
    <row r="181" spans="1:7" ht="15.75">
      <c r="A181" s="1228"/>
      <c r="B181" s="1230"/>
      <c r="C181" s="1228"/>
      <c r="D181" s="1228"/>
      <c r="E181" s="1233"/>
      <c r="F181" s="1228"/>
      <c r="G181" s="1229"/>
    </row>
    <row r="182" spans="1:7" ht="51.75" customHeight="1">
      <c r="A182" s="1243" t="s">
        <v>60</v>
      </c>
      <c r="B182" s="1230" t="s">
        <v>602</v>
      </c>
      <c r="C182" s="1231" t="s">
        <v>1263</v>
      </c>
      <c r="D182" s="1232"/>
      <c r="E182" s="1233"/>
      <c r="F182" s="1222"/>
      <c r="G182" s="1229"/>
    </row>
    <row r="183" spans="1:7" ht="15.75">
      <c r="A183" s="1243"/>
      <c r="B183" s="1230" t="s">
        <v>669</v>
      </c>
      <c r="C183" s="1228"/>
      <c r="D183" s="1232" t="s">
        <v>176</v>
      </c>
      <c r="E183" s="1233">
        <v>10</v>
      </c>
      <c r="F183" s="825"/>
      <c r="G183" s="1229">
        <f>F183*E183</f>
        <v>0</v>
      </c>
    </row>
    <row r="184" spans="1:7" ht="15.75">
      <c r="A184" s="1243"/>
      <c r="B184" s="1230" t="s">
        <v>670</v>
      </c>
      <c r="C184" s="1228"/>
      <c r="D184" s="1232" t="s">
        <v>176</v>
      </c>
      <c r="E184" s="1233">
        <v>15</v>
      </c>
      <c r="F184" s="825"/>
      <c r="G184" s="1229">
        <f>F184*E184</f>
        <v>0</v>
      </c>
    </row>
    <row r="185" spans="1:7" ht="15.75">
      <c r="A185" s="1243"/>
      <c r="B185" s="1230"/>
      <c r="C185" s="1228"/>
      <c r="D185" s="1232"/>
      <c r="E185" s="1233"/>
      <c r="F185" s="1222"/>
      <c r="G185" s="1229"/>
    </row>
    <row r="186" spans="1:7" ht="63">
      <c r="A186" s="1243" t="s">
        <v>63</v>
      </c>
      <c r="B186" s="1230" t="s">
        <v>656</v>
      </c>
      <c r="C186" s="1231" t="s">
        <v>1263</v>
      </c>
      <c r="D186" s="1232"/>
      <c r="E186" s="1233"/>
      <c r="F186" s="1222"/>
      <c r="G186" s="1229"/>
    </row>
    <row r="187" spans="1:7" ht="15.75">
      <c r="A187" s="1243"/>
      <c r="B187" s="1230" t="s">
        <v>671</v>
      </c>
      <c r="C187" s="1228"/>
      <c r="D187" s="1232"/>
      <c r="E187" s="1233"/>
      <c r="F187" s="1222"/>
      <c r="G187" s="1229"/>
    </row>
    <row r="188" spans="1:7" ht="15.75">
      <c r="A188" s="1243"/>
      <c r="B188" s="1230" t="s">
        <v>669</v>
      </c>
      <c r="C188" s="1228"/>
      <c r="D188" s="1232" t="s">
        <v>176</v>
      </c>
      <c r="E188" s="1233">
        <v>10</v>
      </c>
      <c r="F188" s="825"/>
      <c r="G188" s="1229">
        <f>F188*E188</f>
        <v>0</v>
      </c>
    </row>
    <row r="189" spans="1:7" ht="15.75">
      <c r="A189" s="1243"/>
      <c r="B189" s="1230" t="s">
        <v>670</v>
      </c>
      <c r="C189" s="1228"/>
      <c r="D189" s="1232" t="s">
        <v>176</v>
      </c>
      <c r="E189" s="1233">
        <v>15</v>
      </c>
      <c r="F189" s="825"/>
      <c r="G189" s="1229">
        <f>F189*E189</f>
        <v>0</v>
      </c>
    </row>
    <row r="190" spans="1:7" ht="15.75">
      <c r="A190" s="1243"/>
      <c r="B190" s="1230"/>
      <c r="C190" s="1228"/>
      <c r="D190" s="1232"/>
      <c r="E190" s="1233"/>
      <c r="F190" s="1222"/>
      <c r="G190" s="1229"/>
    </row>
    <row r="191" spans="1:7" ht="63">
      <c r="A191" s="1243" t="s">
        <v>65</v>
      </c>
      <c r="B191" s="1230" t="s">
        <v>603</v>
      </c>
      <c r="C191" s="1231" t="s">
        <v>1263</v>
      </c>
      <c r="D191" s="1232" t="s">
        <v>11</v>
      </c>
      <c r="E191" s="1233">
        <v>3</v>
      </c>
      <c r="F191" s="825"/>
      <c r="G191" s="1229">
        <f>F191*E191</f>
        <v>0</v>
      </c>
    </row>
    <row r="192" spans="1:7" ht="15.75">
      <c r="A192" s="1235"/>
      <c r="B192" s="1236" t="s">
        <v>539</v>
      </c>
      <c r="C192" s="1236"/>
      <c r="D192" s="1235"/>
      <c r="E192" s="1237"/>
      <c r="F192" s="1238"/>
      <c r="G192" s="1239">
        <f>SUM(G183:G191)</f>
        <v>0</v>
      </c>
    </row>
    <row r="193" spans="1:7">
      <c r="A193" s="1287"/>
      <c r="B193" s="1277"/>
      <c r="C193" s="1278"/>
      <c r="D193" s="1279"/>
      <c r="E193" s="1288"/>
      <c r="F193" s="1288"/>
      <c r="G193" s="1288"/>
    </row>
    <row r="194" spans="1:7">
      <c r="A194" s="1289"/>
      <c r="B194" s="1290"/>
      <c r="C194" s="1291"/>
      <c r="D194" s="1279"/>
      <c r="E194" s="1288"/>
      <c r="F194" s="1288"/>
      <c r="G194" s="1288"/>
    </row>
    <row r="195" spans="1:7" ht="15.75">
      <c r="A195" s="1258"/>
      <c r="B195" s="1518" t="s">
        <v>608</v>
      </c>
      <c r="C195" s="1518"/>
      <c r="D195" s="1519"/>
      <c r="E195" s="1519"/>
      <c r="F195" s="1519"/>
      <c r="G195" s="1259"/>
    </row>
    <row r="196" spans="1:7" ht="15.75">
      <c r="A196" s="1260" t="s">
        <v>47</v>
      </c>
      <c r="B196" s="1266" t="s">
        <v>1137</v>
      </c>
      <c r="C196" s="1262"/>
      <c r="D196" s="1263"/>
      <c r="E196" s="1264"/>
      <c r="F196" s="1264"/>
      <c r="G196" s="1265">
        <f>G129</f>
        <v>0</v>
      </c>
    </row>
    <row r="197" spans="1:7" ht="15.75">
      <c r="A197" s="1260" t="s">
        <v>49</v>
      </c>
      <c r="B197" s="1261" t="s">
        <v>604</v>
      </c>
      <c r="C197" s="1262"/>
      <c r="D197" s="1263"/>
      <c r="E197" s="1264"/>
      <c r="F197" s="1264"/>
      <c r="G197" s="1265">
        <f>G148</f>
        <v>0</v>
      </c>
    </row>
    <row r="198" spans="1:7" ht="15.75">
      <c r="A198" s="1260" t="s">
        <v>52</v>
      </c>
      <c r="B198" s="1261" t="s">
        <v>605</v>
      </c>
      <c r="C198" s="1262"/>
      <c r="D198" s="1263"/>
      <c r="E198" s="1264"/>
      <c r="F198" s="1264"/>
      <c r="G198" s="1265">
        <f>G178</f>
        <v>0</v>
      </c>
    </row>
    <row r="199" spans="1:7" ht="15.75">
      <c r="A199" s="1260" t="s">
        <v>56</v>
      </c>
      <c r="B199" s="1261" t="s">
        <v>606</v>
      </c>
      <c r="C199" s="1262"/>
      <c r="D199" s="1263"/>
      <c r="E199" s="1264"/>
      <c r="F199" s="1264"/>
      <c r="G199" s="1265">
        <f>G192</f>
        <v>0</v>
      </c>
    </row>
    <row r="200" spans="1:7" ht="15.75">
      <c r="A200" s="1292"/>
      <c r="B200" s="1270" t="s">
        <v>609</v>
      </c>
      <c r="C200" s="1270"/>
      <c r="D200" s="1271"/>
      <c r="E200" s="1272"/>
      <c r="F200" s="1273"/>
      <c r="G200" s="1274">
        <f>SUM(G196:G199)</f>
        <v>0</v>
      </c>
    </row>
    <row r="201" spans="1:7">
      <c r="A201" s="1206"/>
      <c r="B201" s="1211"/>
      <c r="C201" s="1206"/>
      <c r="D201" s="1206"/>
      <c r="E201" s="1206"/>
      <c r="F201" s="1206"/>
      <c r="G201" s="1206"/>
    </row>
    <row r="202" spans="1:7">
      <c r="A202" s="1207"/>
      <c r="B202" s="1211"/>
      <c r="C202" s="1206"/>
      <c r="D202" s="1256"/>
      <c r="E202" s="1208"/>
      <c r="F202" s="1209"/>
      <c r="G202" s="1210"/>
    </row>
    <row r="203" spans="1:7" ht="15.75">
      <c r="A203" s="1214"/>
      <c r="B203" s="1523" t="s">
        <v>1123</v>
      </c>
      <c r="C203" s="1524"/>
      <c r="D203" s="1525"/>
      <c r="E203" s="1525"/>
      <c r="F203" s="1525"/>
      <c r="G203" s="1525"/>
    </row>
    <row r="204" spans="1:7" ht="15.75">
      <c r="A204" s="1293"/>
      <c r="B204" s="1294"/>
      <c r="C204" s="1295"/>
      <c r="D204" s="1293"/>
      <c r="E204" s="1293"/>
      <c r="F204" s="1296"/>
      <c r="G204" s="1297"/>
    </row>
    <row r="205" spans="1:7" ht="15.75">
      <c r="A205" s="1224">
        <v>1</v>
      </c>
      <c r="B205" s="1240" t="s">
        <v>686</v>
      </c>
      <c r="C205" s="1226" t="s">
        <v>1273</v>
      </c>
      <c r="D205" s="1241"/>
      <c r="E205" s="1241"/>
      <c r="F205" s="1241"/>
      <c r="G205" s="1242"/>
    </row>
    <row r="206" spans="1:7" ht="15.75">
      <c r="A206" s="1298"/>
      <c r="B206" s="1299"/>
      <c r="C206" s="1300"/>
      <c r="D206" s="1300"/>
      <c r="E206" s="1300"/>
      <c r="F206" s="1300"/>
      <c r="G206" s="1229"/>
    </row>
    <row r="207" spans="1:7" ht="83.25" customHeight="1">
      <c r="A207" s="1243" t="s">
        <v>611</v>
      </c>
      <c r="B207" s="1230" t="s">
        <v>612</v>
      </c>
      <c r="C207" s="1231" t="s">
        <v>1264</v>
      </c>
      <c r="D207" s="1232" t="s">
        <v>176</v>
      </c>
      <c r="E207" s="1233">
        <v>140</v>
      </c>
      <c r="F207" s="825"/>
      <c r="G207" s="1229">
        <f>E207*F207</f>
        <v>0</v>
      </c>
    </row>
    <row r="208" spans="1:7" ht="15.75">
      <c r="A208" s="1243"/>
      <c r="B208" s="1230"/>
      <c r="C208" s="1228"/>
      <c r="D208" s="1232"/>
      <c r="E208" s="1233"/>
      <c r="F208" s="1301"/>
      <c r="G208" s="1229"/>
    </row>
    <row r="209" spans="1:7" ht="47.25">
      <c r="A209" s="1243" t="s">
        <v>613</v>
      </c>
      <c r="B209" s="1230" t="s">
        <v>614</v>
      </c>
      <c r="C209" s="1231" t="s">
        <v>1264</v>
      </c>
      <c r="D209" s="1232" t="s">
        <v>176</v>
      </c>
      <c r="E209" s="1233">
        <v>140</v>
      </c>
      <c r="F209" s="825"/>
      <c r="G209" s="1229">
        <f>E209*F209</f>
        <v>0</v>
      </c>
    </row>
    <row r="210" spans="1:7" ht="15.75">
      <c r="A210" s="1243"/>
      <c r="B210" s="1230"/>
      <c r="C210" s="1228"/>
      <c r="D210" s="1232"/>
      <c r="E210" s="1233"/>
      <c r="F210" s="1301"/>
      <c r="G210" s="1229"/>
    </row>
    <row r="211" spans="1:7" ht="63">
      <c r="A211" s="1243" t="s">
        <v>615</v>
      </c>
      <c r="B211" s="1230" t="s">
        <v>616</v>
      </c>
      <c r="C211" s="1231" t="s">
        <v>1264</v>
      </c>
      <c r="D211" s="1232"/>
      <c r="E211" s="1233"/>
      <c r="F211" s="1222"/>
      <c r="G211" s="1229"/>
    </row>
    <row r="212" spans="1:7" ht="15.75">
      <c r="A212" s="1243"/>
      <c r="B212" s="1230" t="s">
        <v>617</v>
      </c>
      <c r="C212" s="1228"/>
      <c r="D212" s="1232" t="s">
        <v>176</v>
      </c>
      <c r="E212" s="1233">
        <v>140</v>
      </c>
      <c r="F212" s="825"/>
      <c r="G212" s="1229">
        <f>E212*F212</f>
        <v>0</v>
      </c>
    </row>
    <row r="213" spans="1:7" ht="15.75">
      <c r="A213" s="1243"/>
      <c r="B213" s="1230"/>
      <c r="C213" s="1228"/>
      <c r="D213" s="1232"/>
      <c r="E213" s="1233"/>
      <c r="F213" s="1222"/>
      <c r="G213" s="1229"/>
    </row>
    <row r="214" spans="1:7" ht="31.5">
      <c r="A214" s="1243" t="s">
        <v>618</v>
      </c>
      <c r="B214" s="1230" t="s">
        <v>619</v>
      </c>
      <c r="C214" s="1231" t="s">
        <v>1264</v>
      </c>
      <c r="D214" s="1232"/>
      <c r="E214" s="1233"/>
      <c r="F214" s="1222"/>
      <c r="G214" s="1229"/>
    </row>
    <row r="215" spans="1:7" ht="15.75">
      <c r="A215" s="1243"/>
      <c r="B215" s="1230"/>
      <c r="C215" s="1228"/>
      <c r="D215" s="1232"/>
      <c r="E215" s="1233"/>
      <c r="F215" s="1222"/>
      <c r="G215" s="1229"/>
    </row>
    <row r="216" spans="1:7" ht="31.5">
      <c r="A216" s="1243" t="s">
        <v>620</v>
      </c>
      <c r="B216" s="1230" t="s">
        <v>621</v>
      </c>
      <c r="C216" s="1231"/>
      <c r="D216" s="1232" t="s">
        <v>176</v>
      </c>
      <c r="E216" s="1233">
        <v>70.5</v>
      </c>
      <c r="F216" s="825"/>
      <c r="G216" s="1229">
        <f>E216*F216</f>
        <v>0</v>
      </c>
    </row>
    <row r="217" spans="1:7" ht="15.75">
      <c r="A217" s="1243"/>
      <c r="B217" s="1230"/>
      <c r="C217" s="1228"/>
      <c r="D217" s="1232"/>
      <c r="E217" s="1233"/>
      <c r="F217" s="1301"/>
      <c r="G217" s="1229"/>
    </row>
    <row r="218" spans="1:7" ht="78.75">
      <c r="A218" s="1243" t="s">
        <v>622</v>
      </c>
      <c r="B218" s="1230" t="s">
        <v>623</v>
      </c>
      <c r="C218" s="1231"/>
      <c r="D218" s="1232" t="s">
        <v>176</v>
      </c>
      <c r="E218" s="1233">
        <v>18</v>
      </c>
      <c r="F218" s="825"/>
      <c r="G218" s="1229">
        <f>E218*F218</f>
        <v>0</v>
      </c>
    </row>
    <row r="219" spans="1:7" ht="15.75">
      <c r="A219" s="1243"/>
      <c r="B219" s="1230"/>
      <c r="C219" s="1228"/>
      <c r="D219" s="1301"/>
      <c r="E219" s="1233"/>
      <c r="F219" s="1301"/>
      <c r="G219" s="1229"/>
    </row>
    <row r="220" spans="1:7" ht="63">
      <c r="A220" s="1243" t="s">
        <v>624</v>
      </c>
      <c r="B220" s="1230" t="s">
        <v>625</v>
      </c>
      <c r="C220" s="1228"/>
      <c r="D220" s="1232" t="s">
        <v>176</v>
      </c>
      <c r="E220" s="1233">
        <v>48</v>
      </c>
      <c r="F220" s="825"/>
      <c r="G220" s="1229">
        <f>E220*F220</f>
        <v>0</v>
      </c>
    </row>
    <row r="221" spans="1:7" ht="15.75">
      <c r="A221" s="1243"/>
      <c r="B221" s="1230"/>
      <c r="C221" s="1228"/>
      <c r="D221" s="1232"/>
      <c r="E221" s="1233"/>
      <c r="F221" s="1222"/>
      <c r="G221" s="1229"/>
    </row>
    <row r="222" spans="1:7" ht="31.5">
      <c r="A222" s="1243" t="s">
        <v>626</v>
      </c>
      <c r="B222" s="1230" t="s">
        <v>627</v>
      </c>
      <c r="C222" s="1228"/>
      <c r="D222" s="1232" t="s">
        <v>176</v>
      </c>
      <c r="E222" s="1233">
        <v>4</v>
      </c>
      <c r="F222" s="825"/>
      <c r="G222" s="1229">
        <f>E222*F222</f>
        <v>0</v>
      </c>
    </row>
    <row r="223" spans="1:7" ht="15.75">
      <c r="A223" s="1243"/>
      <c r="B223" s="1230"/>
      <c r="C223" s="1228"/>
      <c r="D223" s="1232"/>
      <c r="E223" s="1233"/>
      <c r="F223" s="1222"/>
      <c r="G223" s="1229"/>
    </row>
    <row r="224" spans="1:7" ht="63">
      <c r="A224" s="1243" t="s">
        <v>628</v>
      </c>
      <c r="B224" s="1230" t="s">
        <v>629</v>
      </c>
      <c r="C224" s="1231" t="s">
        <v>1264</v>
      </c>
      <c r="D224" s="1232" t="s">
        <v>176</v>
      </c>
      <c r="E224" s="1233">
        <v>80</v>
      </c>
      <c r="F224" s="825"/>
      <c r="G224" s="1229">
        <f>E224*F224</f>
        <v>0</v>
      </c>
    </row>
    <row r="225" spans="1:7" ht="15.75">
      <c r="A225" s="1243"/>
      <c r="B225" s="1230"/>
      <c r="C225" s="1228"/>
      <c r="D225" s="1232"/>
      <c r="E225" s="1233"/>
      <c r="F225" s="1301"/>
      <c r="G225" s="1229"/>
    </row>
    <row r="226" spans="1:7" ht="47.25">
      <c r="A226" s="1243" t="s">
        <v>630</v>
      </c>
      <c r="B226" s="1230" t="s">
        <v>631</v>
      </c>
      <c r="C226" s="1231" t="s">
        <v>1264</v>
      </c>
      <c r="D226" s="1232" t="s">
        <v>176</v>
      </c>
      <c r="E226" s="1233">
        <v>5</v>
      </c>
      <c r="F226" s="825"/>
      <c r="G226" s="1229">
        <f>E226*F226</f>
        <v>0</v>
      </c>
    </row>
    <row r="227" spans="1:7" ht="15.75">
      <c r="A227" s="1243"/>
      <c r="B227" s="1230"/>
      <c r="C227" s="1228"/>
      <c r="D227" s="1232"/>
      <c r="E227" s="1233"/>
      <c r="F227" s="1222"/>
      <c r="G227" s="1229"/>
    </row>
    <row r="228" spans="1:7" ht="63">
      <c r="A228" s="1243" t="s">
        <v>632</v>
      </c>
      <c r="B228" s="1230" t="s">
        <v>633</v>
      </c>
      <c r="C228" s="1231" t="s">
        <v>1264</v>
      </c>
      <c r="D228" s="1232" t="s">
        <v>176</v>
      </c>
      <c r="E228" s="1233">
        <v>55</v>
      </c>
      <c r="F228" s="825"/>
      <c r="G228" s="1229">
        <f>E228*F228</f>
        <v>0</v>
      </c>
    </row>
    <row r="229" spans="1:7" ht="15.75">
      <c r="A229" s="1243"/>
      <c r="B229" s="1230"/>
      <c r="C229" s="1228"/>
      <c r="D229" s="1232"/>
      <c r="E229" s="1233"/>
      <c r="F229" s="1222"/>
      <c r="G229" s="1229"/>
    </row>
    <row r="230" spans="1:7" ht="47.25">
      <c r="A230" s="1243" t="s">
        <v>634</v>
      </c>
      <c r="B230" s="1230" t="s">
        <v>635</v>
      </c>
      <c r="C230" s="1231" t="s">
        <v>1264</v>
      </c>
      <c r="D230" s="1232" t="s">
        <v>636</v>
      </c>
      <c r="E230" s="1233">
        <v>24</v>
      </c>
      <c r="F230" s="825"/>
      <c r="G230" s="1229">
        <f>E230*F230</f>
        <v>0</v>
      </c>
    </row>
    <row r="231" spans="1:7" ht="15.75">
      <c r="A231" s="1243"/>
      <c r="B231" s="1230"/>
      <c r="C231" s="1228"/>
      <c r="D231" s="1232"/>
      <c r="E231" s="1233"/>
      <c r="F231" s="1222"/>
      <c r="G231" s="1229"/>
    </row>
    <row r="232" spans="1:7" ht="31.5">
      <c r="A232" s="1243" t="s">
        <v>637</v>
      </c>
      <c r="B232" s="1230" t="s">
        <v>638</v>
      </c>
      <c r="C232" s="1231" t="s">
        <v>1264</v>
      </c>
      <c r="D232" s="1232" t="s">
        <v>898</v>
      </c>
      <c r="E232" s="1233">
        <v>1</v>
      </c>
      <c r="F232" s="825"/>
      <c r="G232" s="1229">
        <f>E232*F232</f>
        <v>0</v>
      </c>
    </row>
    <row r="233" spans="1:7" ht="15.75">
      <c r="A233" s="1243"/>
      <c r="B233" s="1230"/>
      <c r="C233" s="1228"/>
      <c r="D233" s="1232"/>
      <c r="E233" s="1233"/>
      <c r="F233" s="1222"/>
      <c r="G233" s="1229"/>
    </row>
    <row r="234" spans="1:7" ht="63">
      <c r="A234" s="1243" t="s">
        <v>639</v>
      </c>
      <c r="B234" s="1230" t="s">
        <v>640</v>
      </c>
      <c r="C234" s="1231" t="s">
        <v>1264</v>
      </c>
      <c r="D234" s="1232" t="s">
        <v>898</v>
      </c>
      <c r="E234" s="1233">
        <v>1</v>
      </c>
      <c r="F234" s="825"/>
      <c r="G234" s="1229">
        <f>E234*F234</f>
        <v>0</v>
      </c>
    </row>
    <row r="235" spans="1:7" ht="15.75">
      <c r="A235" s="1235"/>
      <c r="B235" s="1236" t="s">
        <v>641</v>
      </c>
      <c r="C235" s="1236"/>
      <c r="D235" s="1235"/>
      <c r="E235" s="1237"/>
      <c r="F235" s="1238"/>
      <c r="G235" s="1239">
        <f>SUM(G207:G234)</f>
        <v>0</v>
      </c>
    </row>
    <row r="236" spans="1:7" ht="15.75">
      <c r="A236" s="1228"/>
      <c r="B236" s="1230"/>
      <c r="C236" s="1228"/>
      <c r="D236" s="1228"/>
      <c r="E236" s="1228"/>
      <c r="F236" s="1228"/>
      <c r="G236" s="1228"/>
    </row>
    <row r="237" spans="1:7" ht="15.75" customHeight="1">
      <c r="A237" s="1224">
        <v>2</v>
      </c>
      <c r="B237" s="1240" t="s">
        <v>1122</v>
      </c>
      <c r="C237" s="1226" t="s">
        <v>1273</v>
      </c>
      <c r="D237" s="1241"/>
      <c r="E237" s="1241"/>
      <c r="F237" s="1241"/>
      <c r="G237" s="1242"/>
    </row>
    <row r="238" spans="1:7" ht="15.75">
      <c r="A238" s="1298"/>
      <c r="B238" s="1230"/>
      <c r="C238" s="1228"/>
      <c r="D238" s="1232"/>
      <c r="E238" s="1233"/>
      <c r="F238" s="1301"/>
      <c r="G238" s="1229"/>
    </row>
    <row r="239" spans="1:7" ht="31.5">
      <c r="A239" s="1243" t="s">
        <v>611</v>
      </c>
      <c r="B239" s="1230" t="s">
        <v>642</v>
      </c>
      <c r="C239" s="1228"/>
      <c r="D239" s="1232" t="s">
        <v>898</v>
      </c>
      <c r="E239" s="1233">
        <v>1</v>
      </c>
      <c r="F239" s="825"/>
      <c r="G239" s="1229">
        <f>E239*F239</f>
        <v>0</v>
      </c>
    </row>
    <row r="240" spans="1:7" ht="15.75">
      <c r="A240" s="1243"/>
      <c r="B240" s="1230"/>
      <c r="C240" s="1228"/>
      <c r="D240" s="1232"/>
      <c r="E240" s="1233"/>
      <c r="F240" s="1222"/>
      <c r="G240" s="1229"/>
    </row>
    <row r="241" spans="1:7" ht="31.5">
      <c r="A241" s="1243" t="s">
        <v>613</v>
      </c>
      <c r="B241" s="1230" t="s">
        <v>643</v>
      </c>
      <c r="C241" s="1228"/>
      <c r="D241" s="1232" t="s">
        <v>898</v>
      </c>
      <c r="E241" s="1233">
        <v>1</v>
      </c>
      <c r="F241" s="825"/>
      <c r="G241" s="1229">
        <f>E241*F241</f>
        <v>0</v>
      </c>
    </row>
    <row r="242" spans="1:7" ht="15.75">
      <c r="A242" s="1243"/>
      <c r="B242" s="1230"/>
      <c r="C242" s="1228"/>
      <c r="D242" s="1232"/>
      <c r="E242" s="1233"/>
      <c r="F242" s="1222"/>
      <c r="G242" s="1229"/>
    </row>
    <row r="243" spans="1:7" ht="15.75">
      <c r="A243" s="1243" t="s">
        <v>615</v>
      </c>
      <c r="B243" s="1230" t="s">
        <v>644</v>
      </c>
      <c r="C243" s="1228"/>
      <c r="D243" s="1232" t="s">
        <v>898</v>
      </c>
      <c r="E243" s="1233">
        <v>1</v>
      </c>
      <c r="F243" s="825"/>
      <c r="G243" s="1229">
        <f>E243*F243</f>
        <v>0</v>
      </c>
    </row>
    <row r="244" spans="1:7" ht="15.75">
      <c r="A244" s="1302"/>
      <c r="B244" s="1528" t="s">
        <v>645</v>
      </c>
      <c r="C244" s="1529"/>
      <c r="D244" s="1529"/>
      <c r="E244" s="1529"/>
      <c r="F244" s="1530"/>
      <c r="G244" s="1303">
        <f>SUM(G239:G243)</f>
        <v>0</v>
      </c>
    </row>
    <row r="245" spans="1:7" ht="15.75">
      <c r="A245" s="1208"/>
      <c r="B245" s="1304"/>
      <c r="C245" s="1305"/>
      <c r="D245" s="1306"/>
      <c r="E245" s="1306"/>
      <c r="F245" s="1306"/>
      <c r="G245" s="1306"/>
    </row>
    <row r="246" spans="1:7" ht="15.75">
      <c r="A246" s="1208"/>
      <c r="B246" s="1304"/>
      <c r="C246" s="1305"/>
      <c r="D246" s="1305"/>
      <c r="E246" s="1305"/>
      <c r="F246" s="1306"/>
      <c r="G246" s="1306"/>
    </row>
    <row r="247" spans="1:7" ht="31.5" customHeight="1">
      <c r="A247" s="1258"/>
      <c r="B247" s="1526" t="s">
        <v>1121</v>
      </c>
      <c r="C247" s="1526"/>
      <c r="D247" s="1527"/>
      <c r="E247" s="1527"/>
      <c r="F247" s="1527"/>
      <c r="G247" s="1259"/>
    </row>
    <row r="248" spans="1:7" ht="15.75">
      <c r="A248" s="1260">
        <v>1</v>
      </c>
      <c r="B248" s="1307" t="s">
        <v>646</v>
      </c>
      <c r="C248" s="1308"/>
      <c r="D248" s="1263"/>
      <c r="E248" s="1264"/>
      <c r="F248" s="1264"/>
      <c r="G248" s="1265">
        <f>G235</f>
        <v>0</v>
      </c>
    </row>
    <row r="249" spans="1:7" ht="15.75" customHeight="1">
      <c r="A249" s="1260">
        <v>2</v>
      </c>
      <c r="B249" s="1309" t="s">
        <v>1122</v>
      </c>
      <c r="C249" s="1308"/>
      <c r="D249" s="1263"/>
      <c r="E249" s="1264"/>
      <c r="F249" s="1264"/>
      <c r="G249" s="1265">
        <f>G244</f>
        <v>0</v>
      </c>
    </row>
    <row r="250" spans="1:7" ht="15.75">
      <c r="A250" s="1269"/>
      <c r="B250" s="1310" t="s">
        <v>672</v>
      </c>
      <c r="C250" s="1310"/>
      <c r="D250" s="1311"/>
      <c r="E250" s="1312"/>
      <c r="F250" s="1313"/>
      <c r="G250" s="1314">
        <f>SUM(G248:G249)</f>
        <v>0</v>
      </c>
    </row>
    <row r="251" spans="1:7">
      <c r="A251" s="1207"/>
      <c r="B251" s="1211"/>
      <c r="C251" s="1206"/>
      <c r="D251" s="1256"/>
      <c r="E251" s="1208"/>
      <c r="F251" s="1209"/>
      <c r="G251" s="1210"/>
    </row>
    <row r="252" spans="1:7">
      <c r="A252" s="1315"/>
      <c r="B252" s="1316"/>
      <c r="C252" s="1317"/>
      <c r="D252" s="1318"/>
      <c r="E252" s="1319"/>
      <c r="F252" s="1319"/>
      <c r="G252" s="1319"/>
    </row>
    <row r="253" spans="1:7" ht="15.75">
      <c r="A253" s="1320"/>
      <c r="B253" s="1521" t="s">
        <v>1037</v>
      </c>
      <c r="C253" s="1521"/>
      <c r="D253" s="1522"/>
      <c r="E253" s="1522"/>
      <c r="F253" s="1522"/>
      <c r="G253" s="1522"/>
    </row>
    <row r="254" spans="1:7" ht="15.75">
      <c r="A254" s="1260" t="s">
        <v>247</v>
      </c>
      <c r="B254" s="1307" t="s">
        <v>607</v>
      </c>
      <c r="C254" s="1308"/>
      <c r="D254" s="1308"/>
      <c r="E254" s="1308"/>
      <c r="F254" s="1308"/>
      <c r="G254" s="1265">
        <f>G107</f>
        <v>0</v>
      </c>
    </row>
    <row r="255" spans="1:7" ht="15.75">
      <c r="A255" s="1260" t="s">
        <v>249</v>
      </c>
      <c r="B255" s="1307" t="s">
        <v>608</v>
      </c>
      <c r="C255" s="1308"/>
      <c r="D255" s="1308"/>
      <c r="E255" s="1308"/>
      <c r="F255" s="1308"/>
      <c r="G255" s="1265">
        <f>G200</f>
        <v>0</v>
      </c>
    </row>
    <row r="256" spans="1:7" ht="15.75" customHeight="1">
      <c r="A256" s="1260" t="s">
        <v>251</v>
      </c>
      <c r="B256" s="1307" t="s">
        <v>673</v>
      </c>
      <c r="C256" s="1308"/>
      <c r="D256" s="1308"/>
      <c r="E256" s="1308"/>
      <c r="F256" s="1308"/>
      <c r="G256" s="1265">
        <f>G250</f>
        <v>0</v>
      </c>
    </row>
    <row r="257" spans="1:7" ht="15.75">
      <c r="A257" s="1127"/>
      <c r="B257" s="1133" t="s">
        <v>721</v>
      </c>
      <c r="C257" s="1134"/>
      <c r="D257" s="1130"/>
      <c r="E257" s="1135"/>
      <c r="F257" s="1131"/>
      <c r="G257" s="1136">
        <f>SUM(G254:G256)</f>
        <v>0</v>
      </c>
    </row>
  </sheetData>
  <sheetProtection sheet="1" objects="1" scenarios="1" formatRows="0" selectLockedCells="1"/>
  <mergeCells count="7">
    <mergeCell ref="B100:F100"/>
    <mergeCell ref="E8:G8"/>
    <mergeCell ref="B253:G253"/>
    <mergeCell ref="B203:G203"/>
    <mergeCell ref="B247:F247"/>
    <mergeCell ref="B244:F244"/>
    <mergeCell ref="B195:F195"/>
  </mergeCells>
  <printOptions horizontalCentered="1"/>
  <pageMargins left="0.78740157480314965" right="0.39370078740157483" top="0.74803149606299213" bottom="0.62992125984251968" header="0.39370078740157483" footer="0.39370078740157483"/>
  <pageSetup paperSize="9" scale="86" orientation="portrait" useFirstPageNumber="1" horizontalDpi="300" verticalDpi="300" r:id="rId1"/>
  <headerFooter alignWithMargins="0">
    <oddHeader>&amp;L&amp;"Times New Roman,Standard"Construction of BCP Kotroman&amp;R&amp;"Times New Roman,Standard"&amp;10Bill of Quantities</oddHeader>
    <oddFooter>&amp;R&amp;"Times New Roman,Regular"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1"/>
  <sheetViews>
    <sheetView showZeros="0" view="pageBreakPreview" topLeftCell="A47" zoomScaleNormal="120" zoomScaleSheetLayoutView="100" workbookViewId="0">
      <selection activeCell="F74" sqref="F74"/>
    </sheetView>
  </sheetViews>
  <sheetFormatPr baseColWidth="10" defaultColWidth="8" defaultRowHeight="15"/>
  <cols>
    <col min="1" max="1" width="6.5703125" style="643" customWidth="1"/>
    <col min="2" max="2" width="36.28515625" style="642" customWidth="1"/>
    <col min="3" max="3" width="11.42578125" style="642" customWidth="1"/>
    <col min="4" max="4" width="7.7109375" style="641" customWidth="1"/>
    <col min="5" max="5" width="11.42578125" style="640" customWidth="1"/>
    <col min="6" max="6" width="13.5703125" style="639" customWidth="1"/>
    <col min="7" max="7" width="16.28515625" style="638" customWidth="1"/>
    <col min="8" max="16384" width="8" style="637"/>
  </cols>
  <sheetData>
    <row r="1" spans="1:7" ht="18.75">
      <c r="A1" s="656"/>
      <c r="B1" s="1106" t="s">
        <v>1151</v>
      </c>
      <c r="C1" s="1206"/>
      <c r="D1" s="643"/>
    </row>
    <row r="2" spans="1:7" ht="18.75">
      <c r="A2" s="656"/>
      <c r="B2" s="1106" t="s">
        <v>1141</v>
      </c>
      <c r="C2" s="1457"/>
      <c r="D2" s="704"/>
      <c r="E2" s="704"/>
      <c r="F2" s="704"/>
      <c r="G2" s="704"/>
    </row>
    <row r="3" spans="1:7">
      <c r="A3" s="656"/>
      <c r="C3" s="1206"/>
      <c r="D3" s="643"/>
    </row>
    <row r="4" spans="1:7" s="1301" customFormat="1" ht="15.75">
      <c r="A4" s="1212"/>
      <c r="B4" s="1213" t="s">
        <v>1099</v>
      </c>
      <c r="C4" s="1213"/>
      <c r="D4" s="1214"/>
      <c r="E4" s="1215"/>
      <c r="F4" s="1216"/>
      <c r="G4" s="1217"/>
    </row>
    <row r="5" spans="1:7" s="1301" customFormat="1">
      <c r="A5" s="1199"/>
      <c r="B5" s="1206"/>
      <c r="C5" s="1206"/>
      <c r="D5" s="1207"/>
      <c r="E5" s="1208"/>
      <c r="F5" s="1209"/>
      <c r="G5" s="1210"/>
    </row>
    <row r="6" spans="1:7" s="1462" customFormat="1" ht="39" customHeight="1">
      <c r="A6" s="1218" t="s">
        <v>891</v>
      </c>
      <c r="B6" s="1219" t="s">
        <v>892</v>
      </c>
      <c r="C6" s="1220" t="s">
        <v>894</v>
      </c>
      <c r="D6" s="1220" t="s">
        <v>1</v>
      </c>
      <c r="E6" s="1221" t="s">
        <v>893</v>
      </c>
      <c r="F6" s="1221" t="s">
        <v>1234</v>
      </c>
      <c r="G6" s="1221" t="s">
        <v>1233</v>
      </c>
    </row>
    <row r="7" spans="1:7" s="1301" customFormat="1" ht="15.75">
      <c r="A7" s="1228"/>
      <c r="B7" s="1228"/>
      <c r="C7" s="1228"/>
      <c r="D7" s="1228"/>
      <c r="E7" s="1228"/>
      <c r="F7" s="1228"/>
      <c r="G7" s="1228"/>
    </row>
    <row r="8" spans="1:7" s="1301" customFormat="1" ht="15.75">
      <c r="A8" s="1463">
        <v>1</v>
      </c>
      <c r="B8" s="1464" t="s">
        <v>675</v>
      </c>
      <c r="C8" s="1458" t="s">
        <v>1274</v>
      </c>
      <c r="D8" s="1323"/>
      <c r="E8" s="1323"/>
      <c r="F8" s="1323"/>
      <c r="G8" s="1465"/>
    </row>
    <row r="9" spans="1:7" s="1301" customFormat="1" ht="15.75">
      <c r="A9" s="1222"/>
      <c r="B9" s="1228"/>
      <c r="C9" s="1228"/>
      <c r="D9" s="1228"/>
      <c r="E9" s="1228"/>
      <c r="F9" s="1228"/>
      <c r="G9" s="1228"/>
    </row>
    <row r="10" spans="1:7" s="1301" customFormat="1" ht="19.5" customHeight="1">
      <c r="A10" s="1222" t="s">
        <v>47</v>
      </c>
      <c r="B10" s="1228" t="s">
        <v>544</v>
      </c>
      <c r="C10" s="1231" t="s">
        <v>935</v>
      </c>
      <c r="D10" s="709"/>
      <c r="E10" s="759"/>
      <c r="F10" s="1228"/>
      <c r="G10" s="1228"/>
    </row>
    <row r="11" spans="1:7" ht="18.75">
      <c r="A11" s="819"/>
      <c r="B11" s="820" t="s">
        <v>690</v>
      </c>
      <c r="C11" s="1228"/>
      <c r="D11" s="709" t="s">
        <v>510</v>
      </c>
      <c r="E11" s="759">
        <v>230</v>
      </c>
      <c r="F11" s="812"/>
      <c r="G11" s="712">
        <f>E11*F11</f>
        <v>0</v>
      </c>
    </row>
    <row r="12" spans="1:7" ht="15.75">
      <c r="A12" s="628"/>
      <c r="B12" s="635" t="s">
        <v>925</v>
      </c>
      <c r="C12" s="1236"/>
      <c r="D12" s="628"/>
      <c r="E12" s="630"/>
      <c r="F12" s="631"/>
      <c r="G12" s="632">
        <f>SUM(G11)</f>
        <v>0</v>
      </c>
    </row>
    <row r="13" spans="1:7" ht="15.75">
      <c r="A13" s="714"/>
      <c r="B13" s="714"/>
      <c r="C13" s="1459"/>
      <c r="D13" s="714"/>
      <c r="E13" s="714"/>
      <c r="F13" s="714"/>
      <c r="G13" s="714"/>
    </row>
    <row r="14" spans="1:7" ht="15.75">
      <c r="A14" s="657">
        <v>2</v>
      </c>
      <c r="B14" s="1174" t="s">
        <v>248</v>
      </c>
      <c r="C14" s="1458" t="s">
        <v>1274</v>
      </c>
      <c r="D14" s="1322"/>
      <c r="E14" s="1322"/>
      <c r="F14" s="1172"/>
      <c r="G14" s="1175"/>
    </row>
    <row r="15" spans="1:7">
      <c r="A15" s="814"/>
      <c r="B15" s="815"/>
      <c r="C15" s="1460"/>
      <c r="D15" s="816"/>
      <c r="E15" s="817"/>
      <c r="F15" s="813"/>
      <c r="G15" s="813"/>
    </row>
    <row r="16" spans="1:7" ht="15.75">
      <c r="A16" s="707" t="s">
        <v>47</v>
      </c>
      <c r="B16" s="714" t="s">
        <v>547</v>
      </c>
      <c r="C16" s="1231" t="s">
        <v>935</v>
      </c>
      <c r="D16" s="709"/>
      <c r="E16" s="759"/>
      <c r="F16" s="811"/>
      <c r="G16" s="818"/>
    </row>
    <row r="17" spans="1:7" ht="18.75">
      <c r="A17" s="707"/>
      <c r="B17" s="714" t="s">
        <v>690</v>
      </c>
      <c r="C17" s="1459"/>
      <c r="D17" s="709" t="s">
        <v>513</v>
      </c>
      <c r="E17" s="759">
        <v>240</v>
      </c>
      <c r="F17" s="812"/>
      <c r="G17" s="712">
        <f>E17*F17</f>
        <v>0</v>
      </c>
    </row>
    <row r="18" spans="1:7" ht="15.75">
      <c r="A18" s="707"/>
      <c r="B18" s="714"/>
      <c r="C18" s="1459"/>
      <c r="D18" s="709"/>
      <c r="E18" s="759"/>
      <c r="F18" s="811"/>
      <c r="G18" s="712"/>
    </row>
    <row r="19" spans="1:7" ht="15.75">
      <c r="A19" s="707" t="s">
        <v>49</v>
      </c>
      <c r="B19" s="714" t="s">
        <v>548</v>
      </c>
      <c r="C19" s="1231" t="s">
        <v>935</v>
      </c>
      <c r="D19" s="709"/>
      <c r="E19" s="759"/>
      <c r="F19" s="811"/>
      <c r="G19" s="712"/>
    </row>
    <row r="20" spans="1:7" ht="18.75">
      <c r="A20" s="707"/>
      <c r="B20" s="714" t="s">
        <v>690</v>
      </c>
      <c r="C20" s="1459"/>
      <c r="D20" s="709" t="s">
        <v>513</v>
      </c>
      <c r="E20" s="759">
        <v>60</v>
      </c>
      <c r="F20" s="812"/>
      <c r="G20" s="712">
        <f>E20*F20</f>
        <v>0</v>
      </c>
    </row>
    <row r="21" spans="1:7" ht="15.75">
      <c r="A21" s="707"/>
      <c r="B21" s="714"/>
      <c r="C21" s="1459"/>
      <c r="D21" s="709"/>
      <c r="E21" s="759"/>
      <c r="F21" s="811"/>
      <c r="G21" s="712"/>
    </row>
    <row r="22" spans="1:7" ht="15.75">
      <c r="A22" s="707" t="s">
        <v>52</v>
      </c>
      <c r="B22" s="714" t="s">
        <v>549</v>
      </c>
      <c r="C22" s="1231" t="s">
        <v>935</v>
      </c>
      <c r="D22" s="709"/>
      <c r="E22" s="759"/>
      <c r="F22" s="811"/>
      <c r="G22" s="712"/>
    </row>
    <row r="23" spans="1:7" ht="18.75">
      <c r="A23" s="707"/>
      <c r="B23" s="714" t="s">
        <v>690</v>
      </c>
      <c r="C23" s="1459"/>
      <c r="D23" s="709" t="s">
        <v>513</v>
      </c>
      <c r="E23" s="759">
        <v>30</v>
      </c>
      <c r="F23" s="812"/>
      <c r="G23" s="712">
        <f>E23*F23</f>
        <v>0</v>
      </c>
    </row>
    <row r="24" spans="1:7" ht="15.75">
      <c r="A24" s="707"/>
      <c r="B24" s="714"/>
      <c r="C24" s="1459"/>
      <c r="D24" s="709"/>
      <c r="E24" s="759"/>
      <c r="F24" s="811"/>
      <c r="G24" s="712"/>
    </row>
    <row r="25" spans="1:7" ht="15.75">
      <c r="A25" s="707" t="s">
        <v>56</v>
      </c>
      <c r="B25" s="714" t="s">
        <v>550</v>
      </c>
      <c r="C25" s="1231" t="s">
        <v>935</v>
      </c>
      <c r="D25" s="709"/>
      <c r="E25" s="759"/>
      <c r="F25" s="811"/>
      <c r="G25" s="712"/>
    </row>
    <row r="26" spans="1:7" ht="18.75">
      <c r="A26" s="707"/>
      <c r="B26" s="714" t="s">
        <v>690</v>
      </c>
      <c r="C26" s="1459"/>
      <c r="D26" s="709" t="s">
        <v>513</v>
      </c>
      <c r="E26" s="759">
        <v>90</v>
      </c>
      <c r="F26" s="812"/>
      <c r="G26" s="712">
        <f>E26*F26</f>
        <v>0</v>
      </c>
    </row>
    <row r="27" spans="1:7" ht="15.75">
      <c r="A27" s="707"/>
      <c r="B27" s="714"/>
      <c r="C27" s="1459"/>
      <c r="D27" s="709"/>
      <c r="E27" s="759"/>
      <c r="F27" s="811"/>
      <c r="G27" s="712"/>
    </row>
    <row r="28" spans="1:7" ht="31.5">
      <c r="A28" s="707" t="s">
        <v>350</v>
      </c>
      <c r="B28" s="714" t="s">
        <v>551</v>
      </c>
      <c r="C28" s="1231" t="s">
        <v>935</v>
      </c>
      <c r="D28" s="709"/>
      <c r="E28" s="759"/>
      <c r="F28" s="811"/>
      <c r="G28" s="712"/>
    </row>
    <row r="29" spans="1:7" ht="18.75">
      <c r="A29" s="707"/>
      <c r="B29" s="714" t="s">
        <v>690</v>
      </c>
      <c r="C29" s="1459"/>
      <c r="D29" s="709" t="s">
        <v>513</v>
      </c>
      <c r="E29" s="759">
        <v>180</v>
      </c>
      <c r="F29" s="812"/>
      <c r="G29" s="712">
        <f>E29*F29</f>
        <v>0</v>
      </c>
    </row>
    <row r="30" spans="1:7" ht="15.75">
      <c r="A30" s="707"/>
      <c r="B30" s="714"/>
      <c r="C30" s="1459"/>
      <c r="D30" s="709"/>
      <c r="E30" s="759"/>
      <c r="F30" s="811"/>
      <c r="G30" s="712"/>
    </row>
    <row r="31" spans="1:7" ht="31.5">
      <c r="A31" s="707" t="s">
        <v>552</v>
      </c>
      <c r="B31" s="714" t="s">
        <v>553</v>
      </c>
      <c r="C31" s="1231" t="s">
        <v>935</v>
      </c>
      <c r="D31" s="709"/>
      <c r="E31" s="759"/>
      <c r="F31" s="811"/>
      <c r="G31" s="712"/>
    </row>
    <row r="32" spans="1:7" ht="18.75">
      <c r="A32" s="707"/>
      <c r="B32" s="714" t="s">
        <v>690</v>
      </c>
      <c r="C32" s="1459"/>
      <c r="D32" s="709" t="s">
        <v>513</v>
      </c>
      <c r="E32" s="759">
        <v>120</v>
      </c>
      <c r="F32" s="812"/>
      <c r="G32" s="712">
        <f>E32*F32</f>
        <v>0</v>
      </c>
    </row>
    <row r="33" spans="1:7" ht="15.75">
      <c r="A33" s="628"/>
      <c r="B33" s="635" t="s">
        <v>926</v>
      </c>
      <c r="C33" s="1236"/>
      <c r="D33" s="628"/>
      <c r="E33" s="630"/>
      <c r="F33" s="810"/>
      <c r="G33" s="632">
        <f>SUM(G17:G32)</f>
        <v>0</v>
      </c>
    </row>
    <row r="34" spans="1:7" ht="15.75">
      <c r="A34" s="714"/>
      <c r="B34" s="714"/>
      <c r="C34" s="1459"/>
      <c r="D34" s="714"/>
      <c r="E34" s="714"/>
      <c r="F34" s="714"/>
      <c r="G34" s="714"/>
    </row>
    <row r="35" spans="1:7" ht="15.75">
      <c r="A35" s="657">
        <v>3</v>
      </c>
      <c r="B35" s="1174" t="s">
        <v>688</v>
      </c>
      <c r="C35" s="1458" t="s">
        <v>1274</v>
      </c>
      <c r="D35" s="1322"/>
      <c r="E35" s="1322"/>
      <c r="F35" s="1172"/>
      <c r="G35" s="1175"/>
    </row>
    <row r="36" spans="1:7" ht="15.75">
      <c r="A36" s="707"/>
      <c r="B36" s="714"/>
      <c r="C36" s="1459"/>
      <c r="D36" s="709"/>
      <c r="E36" s="759"/>
      <c r="F36" s="811"/>
      <c r="G36" s="712"/>
    </row>
    <row r="37" spans="1:7" ht="15.75">
      <c r="A37" s="707" t="s">
        <v>47</v>
      </c>
      <c r="B37" s="714" t="s">
        <v>554</v>
      </c>
      <c r="C37" s="1231" t="s">
        <v>935</v>
      </c>
      <c r="D37" s="709"/>
      <c r="E37" s="759"/>
      <c r="F37" s="811"/>
      <c r="G37" s="712"/>
    </row>
    <row r="38" spans="1:7" ht="18.75">
      <c r="A38" s="707"/>
      <c r="B38" s="714" t="s">
        <v>690</v>
      </c>
      <c r="C38" s="1459"/>
      <c r="D38" s="709" t="s">
        <v>510</v>
      </c>
      <c r="E38" s="759">
        <v>300</v>
      </c>
      <c r="F38" s="812"/>
      <c r="G38" s="712">
        <f>E38*F38</f>
        <v>0</v>
      </c>
    </row>
    <row r="39" spans="1:7" ht="15.75">
      <c r="A39" s="628"/>
      <c r="B39" s="635" t="s">
        <v>927</v>
      </c>
      <c r="C39" s="1236"/>
      <c r="D39" s="628"/>
      <c r="E39" s="630"/>
      <c r="F39" s="631"/>
      <c r="G39" s="632">
        <f>SUM(G38)</f>
        <v>0</v>
      </c>
    </row>
    <row r="40" spans="1:7" ht="15.75">
      <c r="A40" s="709"/>
      <c r="B40" s="709"/>
      <c r="C40" s="709"/>
      <c r="D40" s="709"/>
      <c r="E40" s="709"/>
      <c r="F40" s="709"/>
      <c r="G40" s="709"/>
    </row>
    <row r="41" spans="1:7" s="653" customFormat="1" ht="15.75">
      <c r="A41" s="657">
        <v>4</v>
      </c>
      <c r="B41" s="1174" t="s">
        <v>689</v>
      </c>
      <c r="C41" s="1458" t="s">
        <v>1274</v>
      </c>
      <c r="D41" s="1172"/>
      <c r="E41" s="1172"/>
      <c r="F41" s="1172"/>
      <c r="G41" s="1175"/>
    </row>
    <row r="42" spans="1:7" ht="15.75">
      <c r="A42" s="714"/>
      <c r="B42" s="714"/>
      <c r="C42" s="1459"/>
      <c r="D42" s="714"/>
      <c r="E42" s="759"/>
      <c r="F42" s="714"/>
      <c r="G42" s="714"/>
    </row>
    <row r="43" spans="1:7" ht="47.25" customHeight="1">
      <c r="A43" s="707" t="s">
        <v>47</v>
      </c>
      <c r="B43" s="714" t="s">
        <v>674</v>
      </c>
      <c r="C43" s="1231" t="s">
        <v>935</v>
      </c>
      <c r="D43" s="709"/>
      <c r="E43" s="759"/>
      <c r="F43" s="811"/>
      <c r="G43" s="712"/>
    </row>
    <row r="44" spans="1:7" ht="15.75">
      <c r="A44" s="707"/>
      <c r="B44" s="714"/>
      <c r="C44" s="1459"/>
      <c r="D44" s="709"/>
      <c r="E44" s="759"/>
      <c r="F44" s="811">
        <v>0</v>
      </c>
      <c r="G44" s="712"/>
    </row>
    <row r="45" spans="1:7" ht="15.75">
      <c r="A45" s="827" t="s">
        <v>691</v>
      </c>
      <c r="B45" s="714" t="s">
        <v>692</v>
      </c>
      <c r="C45" s="1459"/>
      <c r="D45" s="709"/>
      <c r="E45" s="759"/>
      <c r="F45" s="811">
        <v>0</v>
      </c>
      <c r="G45" s="712"/>
    </row>
    <row r="46" spans="1:7" ht="31.5">
      <c r="A46" s="707"/>
      <c r="B46" s="714" t="s">
        <v>693</v>
      </c>
      <c r="C46" s="1459"/>
      <c r="D46" s="709" t="s">
        <v>11</v>
      </c>
      <c r="E46" s="759">
        <v>230</v>
      </c>
      <c r="F46" s="812"/>
      <c r="G46" s="712">
        <f>E46*F46</f>
        <v>0</v>
      </c>
    </row>
    <row r="47" spans="1:7" ht="31.5">
      <c r="A47" s="707"/>
      <c r="B47" s="714" t="s">
        <v>694</v>
      </c>
      <c r="C47" s="1459"/>
      <c r="D47" s="709" t="s">
        <v>11</v>
      </c>
      <c r="E47" s="759">
        <v>20</v>
      </c>
      <c r="F47" s="812"/>
      <c r="G47" s="712">
        <f>E47*F47</f>
        <v>0</v>
      </c>
    </row>
    <row r="48" spans="1:7" ht="15.75">
      <c r="A48" s="707"/>
      <c r="B48" s="714"/>
      <c r="C48" s="1459"/>
      <c r="D48" s="709"/>
      <c r="E48" s="759"/>
      <c r="F48" s="811"/>
      <c r="G48" s="712"/>
    </row>
    <row r="49" spans="1:7" ht="31.5">
      <c r="A49" s="707" t="s">
        <v>49</v>
      </c>
      <c r="B49" s="714" t="s">
        <v>695</v>
      </c>
      <c r="C49" s="1231" t="s">
        <v>935</v>
      </c>
      <c r="D49" s="709" t="s">
        <v>11</v>
      </c>
      <c r="E49" s="759">
        <v>1</v>
      </c>
      <c r="F49" s="812"/>
      <c r="G49" s="712">
        <f>F49*E49</f>
        <v>0</v>
      </c>
    </row>
    <row r="50" spans="1:7" ht="15.75">
      <c r="A50" s="628"/>
      <c r="B50" s="635" t="s">
        <v>928</v>
      </c>
      <c r="C50" s="1236"/>
      <c r="D50" s="628"/>
      <c r="E50" s="630"/>
      <c r="F50" s="631"/>
      <c r="G50" s="632">
        <f>SUM(G43:G49)</f>
        <v>0</v>
      </c>
    </row>
    <row r="51" spans="1:7">
      <c r="B51" s="655"/>
      <c r="C51" s="1461"/>
      <c r="D51" s="649"/>
      <c r="E51" s="775"/>
      <c r="F51" s="644"/>
      <c r="G51" s="654"/>
    </row>
    <row r="52" spans="1:7" ht="15.75">
      <c r="A52" s="657">
        <v>5</v>
      </c>
      <c r="B52" s="1174" t="s">
        <v>286</v>
      </c>
      <c r="C52" s="1458" t="s">
        <v>1274</v>
      </c>
      <c r="D52" s="1172"/>
      <c r="E52" s="1172"/>
      <c r="F52" s="1172"/>
      <c r="G52" s="1175"/>
    </row>
    <row r="53" spans="1:7" ht="15.75">
      <c r="A53" s="707"/>
      <c r="B53" s="714"/>
      <c r="C53" s="1459"/>
      <c r="D53" s="709"/>
      <c r="E53" s="759"/>
      <c r="F53" s="811"/>
      <c r="G53" s="712"/>
    </row>
    <row r="54" spans="1:7" ht="31.5">
      <c r="A54" s="707" t="s">
        <v>537</v>
      </c>
      <c r="B54" s="714" t="s">
        <v>853</v>
      </c>
      <c r="C54" s="1231" t="s">
        <v>935</v>
      </c>
      <c r="D54" s="709" t="s">
        <v>11</v>
      </c>
      <c r="E54" s="759">
        <v>11</v>
      </c>
      <c r="F54" s="812"/>
      <c r="G54" s="712">
        <f>E54*F54</f>
        <v>0</v>
      </c>
    </row>
    <row r="55" spans="1:7" ht="15.75">
      <c r="A55" s="628"/>
      <c r="B55" s="635" t="s">
        <v>929</v>
      </c>
      <c r="C55" s="1236"/>
      <c r="D55" s="628"/>
      <c r="E55" s="630"/>
      <c r="F55" s="631"/>
      <c r="G55" s="632">
        <f>SUM(G54)</f>
        <v>0</v>
      </c>
    </row>
    <row r="56" spans="1:7" ht="11.1" customHeight="1">
      <c r="B56" s="650"/>
      <c r="C56" s="1248"/>
      <c r="D56" s="649"/>
      <c r="E56" s="776"/>
      <c r="F56" s="644"/>
      <c r="G56" s="652"/>
    </row>
    <row r="57" spans="1:7" ht="11.1" customHeight="1">
      <c r="B57" s="650"/>
      <c r="C57" s="1248"/>
      <c r="D57" s="649"/>
      <c r="E57" s="776"/>
      <c r="F57" s="644"/>
      <c r="G57" s="652"/>
    </row>
    <row r="58" spans="1:7" ht="15.75">
      <c r="A58" s="657">
        <v>6</v>
      </c>
      <c r="B58" s="1174" t="s">
        <v>501</v>
      </c>
      <c r="C58" s="1458" t="s">
        <v>1274</v>
      </c>
      <c r="D58" s="1172"/>
      <c r="E58" s="1172"/>
      <c r="F58" s="1172"/>
      <c r="G58" s="1175"/>
    </row>
    <row r="59" spans="1:7" ht="15.75">
      <c r="A59" s="707"/>
      <c r="B59" s="714"/>
      <c r="C59" s="1459"/>
      <c r="D59" s="709"/>
      <c r="E59" s="759"/>
      <c r="F59" s="811"/>
      <c r="G59" s="712"/>
    </row>
    <row r="60" spans="1:7" ht="15.75">
      <c r="A60" s="707" t="s">
        <v>52</v>
      </c>
      <c r="B60" s="714" t="s">
        <v>571</v>
      </c>
      <c r="C60" s="1231" t="s">
        <v>935</v>
      </c>
      <c r="D60" s="709" t="s">
        <v>11</v>
      </c>
      <c r="E60" s="759">
        <v>2</v>
      </c>
      <c r="F60" s="812"/>
      <c r="G60" s="712">
        <f>E60*F60</f>
        <v>0</v>
      </c>
    </row>
    <row r="61" spans="1:7" ht="15.75">
      <c r="A61" s="707"/>
      <c r="B61" s="714"/>
      <c r="C61" s="1459"/>
      <c r="D61" s="709"/>
      <c r="E61" s="759"/>
      <c r="F61" s="811">
        <v>0</v>
      </c>
      <c r="G61" s="712"/>
    </row>
    <row r="62" spans="1:7" ht="15.75">
      <c r="A62" s="707" t="s">
        <v>56</v>
      </c>
      <c r="B62" s="714" t="s">
        <v>572</v>
      </c>
      <c r="C62" s="1231" t="s">
        <v>935</v>
      </c>
      <c r="D62" s="709" t="s">
        <v>772</v>
      </c>
      <c r="E62" s="759">
        <v>25</v>
      </c>
      <c r="F62" s="812"/>
      <c r="G62" s="712">
        <f>E62*F62</f>
        <v>0</v>
      </c>
    </row>
    <row r="63" spans="1:7" ht="15.75">
      <c r="A63" s="707"/>
      <c r="B63" s="714"/>
      <c r="C63" s="1459"/>
      <c r="D63" s="709"/>
      <c r="E63" s="759"/>
      <c r="F63" s="811"/>
      <c r="G63" s="712"/>
    </row>
    <row r="64" spans="1:7" ht="18.75">
      <c r="A64" s="707" t="s">
        <v>552</v>
      </c>
      <c r="B64" s="714" t="s">
        <v>696</v>
      </c>
      <c r="C64" s="1231" t="s">
        <v>935</v>
      </c>
      <c r="D64" s="709" t="s">
        <v>510</v>
      </c>
      <c r="E64" s="759">
        <v>15</v>
      </c>
      <c r="F64" s="812"/>
      <c r="G64" s="712">
        <f>E64*F64</f>
        <v>0</v>
      </c>
    </row>
    <row r="65" spans="1:7" ht="15.75">
      <c r="A65" s="707"/>
      <c r="B65" s="714"/>
      <c r="C65" s="1459"/>
      <c r="D65" s="709"/>
      <c r="E65" s="759"/>
      <c r="F65" s="811"/>
      <c r="G65" s="712"/>
    </row>
    <row r="66" spans="1:7" ht="47.25">
      <c r="A66" s="707" t="s">
        <v>697</v>
      </c>
      <c r="B66" s="714" t="s">
        <v>698</v>
      </c>
      <c r="C66" s="1231" t="s">
        <v>935</v>
      </c>
      <c r="D66" s="709"/>
      <c r="E66" s="759"/>
      <c r="F66" s="811"/>
      <c r="G66" s="712"/>
    </row>
    <row r="67" spans="1:7" ht="18.75">
      <c r="A67" s="707"/>
      <c r="B67" s="714" t="s">
        <v>699</v>
      </c>
      <c r="C67" s="1459"/>
      <c r="D67" s="709" t="s">
        <v>513</v>
      </c>
      <c r="E67" s="759">
        <v>50</v>
      </c>
      <c r="F67" s="812"/>
      <c r="G67" s="712">
        <f>E67*F67</f>
        <v>0</v>
      </c>
    </row>
    <row r="68" spans="1:7" ht="18.75">
      <c r="A68" s="707"/>
      <c r="B68" s="714" t="s">
        <v>700</v>
      </c>
      <c r="C68" s="1459"/>
      <c r="D68" s="709" t="s">
        <v>513</v>
      </c>
      <c r="E68" s="759">
        <v>2</v>
      </c>
      <c r="F68" s="812"/>
      <c r="G68" s="712">
        <f>E68*F68</f>
        <v>0</v>
      </c>
    </row>
    <row r="69" spans="1:7" ht="31.5">
      <c r="A69" s="707"/>
      <c r="B69" s="714" t="s">
        <v>701</v>
      </c>
      <c r="C69" s="1459"/>
      <c r="D69" s="709" t="s">
        <v>513</v>
      </c>
      <c r="E69" s="759">
        <v>2</v>
      </c>
      <c r="F69" s="812"/>
      <c r="G69" s="712">
        <f>E69*F69</f>
        <v>0</v>
      </c>
    </row>
    <row r="70" spans="1:7" ht="15.75">
      <c r="A70" s="707"/>
      <c r="B70" s="714"/>
      <c r="C70" s="1459"/>
      <c r="D70" s="709"/>
      <c r="E70" s="759"/>
      <c r="F70" s="811"/>
      <c r="G70" s="712"/>
    </row>
    <row r="71" spans="1:7" ht="47.25">
      <c r="A71" s="707" t="s">
        <v>702</v>
      </c>
      <c r="B71" s="714" t="s">
        <v>1321</v>
      </c>
      <c r="C71" s="1231" t="s">
        <v>935</v>
      </c>
      <c r="D71" s="709" t="s">
        <v>11</v>
      </c>
      <c r="E71" s="759">
        <v>1</v>
      </c>
      <c r="F71" s="812"/>
      <c r="G71" s="712">
        <f>E71*F71</f>
        <v>0</v>
      </c>
    </row>
    <row r="72" spans="1:7" ht="15.75">
      <c r="A72" s="707"/>
      <c r="B72" s="714"/>
      <c r="C72" s="1459"/>
      <c r="D72" s="709"/>
      <c r="E72" s="759"/>
      <c r="F72" s="811"/>
      <c r="G72" s="712"/>
    </row>
    <row r="73" spans="1:7" ht="47.25">
      <c r="A73" s="707" t="s">
        <v>703</v>
      </c>
      <c r="B73" s="714" t="s">
        <v>704</v>
      </c>
      <c r="C73" s="1231" t="s">
        <v>935</v>
      </c>
      <c r="D73" s="709"/>
      <c r="E73" s="759"/>
      <c r="F73" s="811"/>
      <c r="G73" s="712"/>
    </row>
    <row r="74" spans="1:7" ht="15.75">
      <c r="A74" s="707"/>
      <c r="B74" s="714" t="s">
        <v>705</v>
      </c>
      <c r="C74" s="1459"/>
      <c r="D74" s="709" t="s">
        <v>11</v>
      </c>
      <c r="E74" s="759">
        <v>1</v>
      </c>
      <c r="F74" s="812"/>
      <c r="G74" s="712">
        <f>E74*F74</f>
        <v>0</v>
      </c>
    </row>
    <row r="75" spans="1:7" ht="15.75">
      <c r="A75" s="628"/>
      <c r="B75" s="635" t="s">
        <v>930</v>
      </c>
      <c r="C75" s="635"/>
      <c r="D75" s="628"/>
      <c r="E75" s="630"/>
      <c r="F75" s="631"/>
      <c r="G75" s="632">
        <f>SUM(G60:G74)</f>
        <v>0</v>
      </c>
    </row>
    <row r="76" spans="1:7">
      <c r="A76" s="651"/>
      <c r="B76" s="650"/>
      <c r="C76" s="650"/>
      <c r="D76" s="649"/>
      <c r="E76" s="648"/>
      <c r="F76" s="647"/>
      <c r="G76" s="646"/>
    </row>
    <row r="77" spans="1:7">
      <c r="A77" s="662"/>
      <c r="B77" s="645"/>
      <c r="C77" s="645"/>
      <c r="G77" s="644"/>
    </row>
    <row r="78" spans="1:7" ht="15.75">
      <c r="A78" s="663" t="s">
        <v>706</v>
      </c>
      <c r="B78" s="1533" t="s">
        <v>707</v>
      </c>
      <c r="C78" s="1533"/>
      <c r="D78" s="1534"/>
      <c r="E78" s="1534"/>
      <c r="F78" s="1534"/>
      <c r="G78" s="267"/>
    </row>
    <row r="79" spans="1:7" ht="15.75">
      <c r="A79" s="292">
        <v>1</v>
      </c>
      <c r="B79" s="133" t="s">
        <v>576</v>
      </c>
      <c r="C79" s="133"/>
      <c r="D79" s="274"/>
      <c r="E79" s="341"/>
      <c r="F79" s="341"/>
      <c r="G79" s="294">
        <f>G12</f>
        <v>0</v>
      </c>
    </row>
    <row r="80" spans="1:7" ht="15.75">
      <c r="A80" s="292">
        <v>2</v>
      </c>
      <c r="B80" s="133" t="s">
        <v>577</v>
      </c>
      <c r="C80" s="133"/>
      <c r="D80" s="274"/>
      <c r="E80" s="341"/>
      <c r="F80" s="341"/>
      <c r="G80" s="294">
        <f>G33</f>
        <v>0</v>
      </c>
    </row>
    <row r="81" spans="1:7" ht="15.75">
      <c r="A81" s="292">
        <v>3</v>
      </c>
      <c r="B81" s="133" t="s">
        <v>578</v>
      </c>
      <c r="C81" s="133"/>
      <c r="D81" s="274"/>
      <c r="E81" s="341"/>
      <c r="F81" s="341"/>
      <c r="G81" s="294">
        <f>G39</f>
        <v>0</v>
      </c>
    </row>
    <row r="82" spans="1:7" ht="15.75">
      <c r="A82" s="292">
        <v>4</v>
      </c>
      <c r="B82" s="133" t="s">
        <v>579</v>
      </c>
      <c r="C82" s="133"/>
      <c r="D82" s="274"/>
      <c r="E82" s="341"/>
      <c r="F82" s="341"/>
      <c r="G82" s="294">
        <f>G50</f>
        <v>0</v>
      </c>
    </row>
    <row r="83" spans="1:7" ht="15.75">
      <c r="A83" s="292">
        <v>5</v>
      </c>
      <c r="B83" s="133" t="s">
        <v>580</v>
      </c>
      <c r="C83" s="133"/>
      <c r="D83" s="274"/>
      <c r="E83" s="341"/>
      <c r="F83" s="341"/>
      <c r="G83" s="294">
        <f>G55</f>
        <v>0</v>
      </c>
    </row>
    <row r="84" spans="1:7" ht="15.75">
      <c r="A84" s="292">
        <v>6</v>
      </c>
      <c r="B84" s="133" t="s">
        <v>581</v>
      </c>
      <c r="C84" s="133"/>
      <c r="D84" s="274"/>
      <c r="E84" s="341"/>
      <c r="F84" s="341"/>
      <c r="G84" s="294">
        <f>G75</f>
        <v>0</v>
      </c>
    </row>
    <row r="85" spans="1:7" s="1301" customFormat="1" ht="15.75">
      <c r="A85" s="1269" t="s">
        <v>647</v>
      </c>
      <c r="B85" s="1270" t="s">
        <v>1140</v>
      </c>
      <c r="C85" s="1270"/>
      <c r="D85" s="1271"/>
      <c r="E85" s="1272"/>
      <c r="F85" s="1273"/>
      <c r="G85" s="1274">
        <f>SUM(G79:G84)</f>
        <v>0</v>
      </c>
    </row>
    <row r="86" spans="1:7" s="1301" customFormat="1" ht="15.75">
      <c r="A86" s="1207"/>
      <c r="B86" s="1262"/>
      <c r="C86" s="1262"/>
      <c r="D86" s="1256"/>
      <c r="E86" s="1208"/>
      <c r="F86" s="1209"/>
      <c r="G86" s="1210"/>
    </row>
    <row r="87" spans="1:7" s="1301" customFormat="1" ht="15.75">
      <c r="A87" s="1212"/>
      <c r="B87" s="1466" t="s">
        <v>1100</v>
      </c>
      <c r="C87" s="1466"/>
      <c r="D87" s="1214"/>
      <c r="E87" s="1215"/>
      <c r="F87" s="1216"/>
      <c r="G87" s="1217"/>
    </row>
    <row r="88" spans="1:7" s="1301" customFormat="1">
      <c r="A88" s="1276"/>
      <c r="B88" s="1278"/>
      <c r="C88" s="1278"/>
      <c r="D88" s="1279"/>
      <c r="E88" s="1280"/>
      <c r="F88" s="1281"/>
      <c r="G88" s="1281"/>
    </row>
    <row r="89" spans="1:7" s="1301" customFormat="1" ht="15.75">
      <c r="A89" s="1463" t="s">
        <v>63</v>
      </c>
      <c r="B89" s="1464" t="s">
        <v>709</v>
      </c>
      <c r="C89" s="1458" t="s">
        <v>1274</v>
      </c>
      <c r="D89" s="1323"/>
      <c r="E89" s="1323"/>
      <c r="F89" s="1323"/>
      <c r="G89" s="1465"/>
    </row>
    <row r="90" spans="1:7" s="1301" customFormat="1" ht="15.75">
      <c r="A90" s="1467"/>
      <c r="B90" s="1459"/>
      <c r="C90" s="1459"/>
      <c r="D90" s="709"/>
      <c r="E90" s="759"/>
      <c r="F90" s="1459"/>
      <c r="G90" s="1459"/>
    </row>
    <row r="91" spans="1:7" s="1301" customFormat="1" ht="31.5">
      <c r="A91" s="1467" t="s">
        <v>60</v>
      </c>
      <c r="B91" s="1459" t="s">
        <v>708</v>
      </c>
      <c r="C91" s="1231" t="s">
        <v>936</v>
      </c>
      <c r="D91" s="709"/>
      <c r="E91" s="759"/>
      <c r="F91" s="1468"/>
      <c r="G91" s="712"/>
    </row>
    <row r="92" spans="1:7" s="1301" customFormat="1" ht="15.75">
      <c r="A92" s="1467"/>
      <c r="B92" s="1459" t="s">
        <v>710</v>
      </c>
      <c r="C92" s="1459"/>
      <c r="D92" s="709"/>
      <c r="E92" s="759"/>
      <c r="F92" s="1468"/>
      <c r="G92" s="712"/>
    </row>
    <row r="93" spans="1:7" ht="15.75">
      <c r="A93" s="828"/>
      <c r="B93" s="714" t="s">
        <v>711</v>
      </c>
      <c r="C93" s="1459"/>
      <c r="D93" s="709" t="s">
        <v>176</v>
      </c>
      <c r="E93" s="759">
        <v>10</v>
      </c>
      <c r="F93" s="812"/>
      <c r="G93" s="712">
        <f>F93*E93</f>
        <v>0</v>
      </c>
    </row>
    <row r="94" spans="1:7" ht="15.75">
      <c r="A94" s="828"/>
      <c r="B94" s="714" t="s">
        <v>712</v>
      </c>
      <c r="C94" s="1459"/>
      <c r="D94" s="709" t="s">
        <v>176</v>
      </c>
      <c r="E94" s="759">
        <v>20</v>
      </c>
      <c r="F94" s="812"/>
      <c r="G94" s="712">
        <f>F94*E94</f>
        <v>0</v>
      </c>
    </row>
    <row r="95" spans="1:7" ht="15.75">
      <c r="A95" s="828"/>
      <c r="B95" s="714" t="s">
        <v>713</v>
      </c>
      <c r="C95" s="1459"/>
      <c r="D95" s="709" t="s">
        <v>176</v>
      </c>
      <c r="E95" s="759">
        <v>12</v>
      </c>
      <c r="F95" s="812"/>
      <c r="G95" s="712">
        <f>F95*E95</f>
        <v>0</v>
      </c>
    </row>
    <row r="96" spans="1:7" ht="15.75">
      <c r="A96" s="828"/>
      <c r="B96" s="714" t="s">
        <v>714</v>
      </c>
      <c r="C96" s="1459"/>
      <c r="D96" s="709" t="s">
        <v>176</v>
      </c>
      <c r="E96" s="759">
        <v>10</v>
      </c>
      <c r="F96" s="812"/>
      <c r="G96" s="712">
        <f>F96*E96</f>
        <v>0</v>
      </c>
    </row>
    <row r="97" spans="1:7" ht="15.75">
      <c r="A97" s="828"/>
      <c r="B97" s="714"/>
      <c r="C97" s="1459"/>
      <c r="D97" s="709"/>
      <c r="E97" s="759"/>
      <c r="F97" s="829"/>
      <c r="G97" s="712"/>
    </row>
    <row r="98" spans="1:7" ht="31.5">
      <c r="A98" s="828" t="s">
        <v>63</v>
      </c>
      <c r="B98" s="714" t="s">
        <v>715</v>
      </c>
      <c r="C98" s="1231" t="s">
        <v>936</v>
      </c>
      <c r="D98" s="709"/>
      <c r="E98" s="759"/>
      <c r="F98" s="811"/>
      <c r="G98" s="712"/>
    </row>
    <row r="99" spans="1:7" ht="31.5">
      <c r="A99" s="828"/>
      <c r="B99" s="714" t="s">
        <v>716</v>
      </c>
      <c r="C99" s="1459"/>
      <c r="D99" s="709"/>
      <c r="E99" s="759"/>
      <c r="F99" s="811"/>
      <c r="G99" s="712"/>
    </row>
    <row r="100" spans="1:7" ht="15.75">
      <c r="A100" s="828"/>
      <c r="B100" s="714" t="s">
        <v>717</v>
      </c>
      <c r="C100" s="1459"/>
      <c r="D100" s="709" t="s">
        <v>11</v>
      </c>
      <c r="E100" s="759">
        <v>3</v>
      </c>
      <c r="F100" s="812"/>
      <c r="G100" s="712">
        <f>F100*E100</f>
        <v>0</v>
      </c>
    </row>
    <row r="101" spans="1:7" ht="15.75">
      <c r="A101" s="828"/>
      <c r="B101" s="714"/>
      <c r="C101" s="1459"/>
      <c r="D101" s="709"/>
      <c r="E101" s="759"/>
      <c r="F101" s="811"/>
      <c r="G101" s="712"/>
    </row>
    <row r="102" spans="1:7" ht="47.25">
      <c r="A102" s="828" t="s">
        <v>65</v>
      </c>
      <c r="B102" s="714" t="s">
        <v>718</v>
      </c>
      <c r="C102" s="1231" t="s">
        <v>936</v>
      </c>
      <c r="D102" s="709"/>
      <c r="E102" s="759"/>
      <c r="F102" s="811"/>
      <c r="G102" s="712"/>
    </row>
    <row r="103" spans="1:7" ht="31.5">
      <c r="A103" s="828"/>
      <c r="B103" s="714" t="s">
        <v>719</v>
      </c>
      <c r="C103" s="1459"/>
      <c r="D103" s="709"/>
      <c r="E103" s="759"/>
      <c r="F103" s="811"/>
      <c r="G103" s="712"/>
    </row>
    <row r="104" spans="1:7" ht="15.75">
      <c r="A104" s="828"/>
      <c r="B104" s="714" t="s">
        <v>720</v>
      </c>
      <c r="C104" s="714"/>
      <c r="D104" s="709" t="s">
        <v>11</v>
      </c>
      <c r="E104" s="759">
        <v>11</v>
      </c>
      <c r="F104" s="812"/>
      <c r="G104" s="712">
        <f>F104*E104</f>
        <v>0</v>
      </c>
    </row>
    <row r="105" spans="1:7" ht="15.75">
      <c r="A105" s="628"/>
      <c r="B105" s="635" t="s">
        <v>931</v>
      </c>
      <c r="C105" s="635"/>
      <c r="D105" s="628"/>
      <c r="E105" s="630"/>
      <c r="F105" s="631"/>
      <c r="G105" s="632">
        <f>SUM(G92:G104)</f>
        <v>0</v>
      </c>
    </row>
    <row r="106" spans="1:7" ht="15.75">
      <c r="A106" s="709"/>
      <c r="B106" s="709"/>
      <c r="C106" s="709"/>
      <c r="D106" s="709"/>
      <c r="E106" s="709"/>
      <c r="F106" s="709"/>
      <c r="G106" s="709"/>
    </row>
    <row r="108" spans="1:7" ht="15.75">
      <c r="A108" s="1132"/>
      <c r="B108" s="1531" t="s">
        <v>1038</v>
      </c>
      <c r="C108" s="1531"/>
      <c r="D108" s="1532"/>
      <c r="E108" s="1532"/>
      <c r="F108" s="1532"/>
      <c r="G108" s="1532"/>
    </row>
    <row r="109" spans="1:7" ht="15.75">
      <c r="A109" s="830" t="s">
        <v>247</v>
      </c>
      <c r="B109" s="472" t="s">
        <v>1113</v>
      </c>
      <c r="C109" s="661"/>
      <c r="D109" s="661"/>
      <c r="E109" s="661"/>
      <c r="F109" s="661"/>
      <c r="G109" s="294">
        <f>G85</f>
        <v>0</v>
      </c>
    </row>
    <row r="110" spans="1:7" ht="15" customHeight="1">
      <c r="A110" s="830" t="s">
        <v>249</v>
      </c>
      <c r="B110" s="661" t="s">
        <v>1114</v>
      </c>
      <c r="C110" s="661"/>
      <c r="D110" s="661"/>
      <c r="E110" s="661"/>
      <c r="F110" s="661"/>
      <c r="G110" s="294">
        <f>G105</f>
        <v>0</v>
      </c>
    </row>
    <row r="111" spans="1:7" s="664" customFormat="1" ht="15.75">
      <c r="A111" s="1127"/>
      <c r="B111" s="1133" t="s">
        <v>722</v>
      </c>
      <c r="C111" s="1133"/>
      <c r="D111" s="1130"/>
      <c r="E111" s="1135"/>
      <c r="F111" s="1131"/>
      <c r="G111" s="1136">
        <f>G109+G110</f>
        <v>0</v>
      </c>
    </row>
  </sheetData>
  <sheetProtection sheet="1" objects="1" scenarios="1" formatRows="0" selectLockedCells="1"/>
  <mergeCells count="2">
    <mergeCell ref="B108:G108"/>
    <mergeCell ref="B78:F78"/>
  </mergeCells>
  <printOptions horizontalCentered="1"/>
  <pageMargins left="0.78749999999999998" right="0.39374999999999999" top="0.73406249999999995" bottom="0.63124999999999998" header="0.39374999999999999" footer="0.39374999999999999"/>
  <pageSetup paperSize="9" scale="87" orientation="portrait" useFirstPageNumber="1" horizontalDpi="300" verticalDpi="300" r:id="rId1"/>
  <headerFooter alignWithMargins="0">
    <oddHeader>&amp;L&amp;"Times New Roman,Standard"Construction of BCP Kotroman&amp;R&amp;"Times New Roman,Standard"&amp;10Bill of Quantities</oddHeader>
    <oddFooter>&amp;R&amp;"Times New Roman,Regular"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2"/>
  <sheetViews>
    <sheetView showZeros="0" view="pageBreakPreview" topLeftCell="A102" zoomScaleNormal="100" zoomScaleSheetLayoutView="100" workbookViewId="0">
      <selection activeCell="F119" sqref="F119"/>
    </sheetView>
  </sheetViews>
  <sheetFormatPr baseColWidth="10" defaultColWidth="8.7109375" defaultRowHeight="12.75"/>
  <cols>
    <col min="1" max="1" width="6.42578125" style="702" customWidth="1"/>
    <col min="2" max="2" width="36.5703125" style="703" customWidth="1"/>
    <col min="3" max="3" width="11.140625" style="703" customWidth="1"/>
    <col min="4" max="4" width="8" style="679" customWidth="1"/>
    <col min="5" max="5" width="11.42578125" style="678" customWidth="1"/>
    <col min="6" max="6" width="13.7109375" style="680" customWidth="1"/>
    <col min="7" max="7" width="16.140625" style="680" customWidth="1"/>
    <col min="8" max="245" width="8.7109375" style="682"/>
    <col min="246" max="246" width="8.28515625" style="682" customWidth="1"/>
    <col min="247" max="247" width="48.42578125" style="682" customWidth="1"/>
    <col min="248" max="248" width="9.140625" style="682" customWidth="1"/>
    <col min="249" max="249" width="7.28515625" style="682" customWidth="1"/>
    <col min="250" max="250" width="12" style="682" customWidth="1"/>
    <col min="251" max="251" width="14" style="682" customWidth="1"/>
    <col min="252" max="252" width="0" style="682" hidden="1" customWidth="1"/>
    <col min="253" max="253" width="8.7109375" style="682"/>
    <col min="254" max="254" width="10" style="682" customWidth="1"/>
    <col min="255" max="255" width="13" style="682" customWidth="1"/>
    <col min="256" max="501" width="8.7109375" style="682"/>
    <col min="502" max="502" width="8.28515625" style="682" customWidth="1"/>
    <col min="503" max="503" width="48.42578125" style="682" customWidth="1"/>
    <col min="504" max="504" width="9.140625" style="682" customWidth="1"/>
    <col min="505" max="505" width="7.28515625" style="682" customWidth="1"/>
    <col min="506" max="506" width="12" style="682" customWidth="1"/>
    <col min="507" max="507" width="14" style="682" customWidth="1"/>
    <col min="508" max="508" width="0" style="682" hidden="1" customWidth="1"/>
    <col min="509" max="509" width="8.7109375" style="682"/>
    <col min="510" max="510" width="10" style="682" customWidth="1"/>
    <col min="511" max="511" width="13" style="682" customWidth="1"/>
    <col min="512" max="757" width="8.7109375" style="682"/>
    <col min="758" max="758" width="8.28515625" style="682" customWidth="1"/>
    <col min="759" max="759" width="48.42578125" style="682" customWidth="1"/>
    <col min="760" max="760" width="9.140625" style="682" customWidth="1"/>
    <col min="761" max="761" width="7.28515625" style="682" customWidth="1"/>
    <col min="762" max="762" width="12" style="682" customWidth="1"/>
    <col min="763" max="763" width="14" style="682" customWidth="1"/>
    <col min="764" max="764" width="0" style="682" hidden="1" customWidth="1"/>
    <col min="765" max="765" width="8.7109375" style="682"/>
    <col min="766" max="766" width="10" style="682" customWidth="1"/>
    <col min="767" max="767" width="13" style="682" customWidth="1"/>
    <col min="768" max="1013" width="8.7109375" style="682"/>
    <col min="1014" max="1014" width="8.28515625" style="682" customWidth="1"/>
    <col min="1015" max="1015" width="48.42578125" style="682" customWidth="1"/>
    <col min="1016" max="1016" width="9.140625" style="682" customWidth="1"/>
    <col min="1017" max="1017" width="7.28515625" style="682" customWidth="1"/>
    <col min="1018" max="1018" width="12" style="682" customWidth="1"/>
    <col min="1019" max="1019" width="14" style="682" customWidth="1"/>
    <col min="1020" max="1020" width="0" style="682" hidden="1" customWidth="1"/>
    <col min="1021" max="1021" width="8.7109375" style="682"/>
    <col min="1022" max="1022" width="10" style="682" customWidth="1"/>
    <col min="1023" max="1023" width="13" style="682" customWidth="1"/>
    <col min="1024" max="1269" width="8.7109375" style="682"/>
    <col min="1270" max="1270" width="8.28515625" style="682" customWidth="1"/>
    <col min="1271" max="1271" width="48.42578125" style="682" customWidth="1"/>
    <col min="1272" max="1272" width="9.140625" style="682" customWidth="1"/>
    <col min="1273" max="1273" width="7.28515625" style="682" customWidth="1"/>
    <col min="1274" max="1274" width="12" style="682" customWidth="1"/>
    <col min="1275" max="1275" width="14" style="682" customWidth="1"/>
    <col min="1276" max="1276" width="0" style="682" hidden="1" customWidth="1"/>
    <col min="1277" max="1277" width="8.7109375" style="682"/>
    <col min="1278" max="1278" width="10" style="682" customWidth="1"/>
    <col min="1279" max="1279" width="13" style="682" customWidth="1"/>
    <col min="1280" max="1525" width="8.7109375" style="682"/>
    <col min="1526" max="1526" width="8.28515625" style="682" customWidth="1"/>
    <col min="1527" max="1527" width="48.42578125" style="682" customWidth="1"/>
    <col min="1528" max="1528" width="9.140625" style="682" customWidth="1"/>
    <col min="1529" max="1529" width="7.28515625" style="682" customWidth="1"/>
    <col min="1530" max="1530" width="12" style="682" customWidth="1"/>
    <col min="1531" max="1531" width="14" style="682" customWidth="1"/>
    <col min="1532" max="1532" width="0" style="682" hidden="1" customWidth="1"/>
    <col min="1533" max="1533" width="8.7109375" style="682"/>
    <col min="1534" max="1534" width="10" style="682" customWidth="1"/>
    <col min="1535" max="1535" width="13" style="682" customWidth="1"/>
    <col min="1536" max="1781" width="8.7109375" style="682"/>
    <col min="1782" max="1782" width="8.28515625" style="682" customWidth="1"/>
    <col min="1783" max="1783" width="48.42578125" style="682" customWidth="1"/>
    <col min="1784" max="1784" width="9.140625" style="682" customWidth="1"/>
    <col min="1785" max="1785" width="7.28515625" style="682" customWidth="1"/>
    <col min="1786" max="1786" width="12" style="682" customWidth="1"/>
    <col min="1787" max="1787" width="14" style="682" customWidth="1"/>
    <col min="1788" max="1788" width="0" style="682" hidden="1" customWidth="1"/>
    <col min="1789" max="1789" width="8.7109375" style="682"/>
    <col min="1790" max="1790" width="10" style="682" customWidth="1"/>
    <col min="1791" max="1791" width="13" style="682" customWidth="1"/>
    <col min="1792" max="2037" width="8.7109375" style="682"/>
    <col min="2038" max="2038" width="8.28515625" style="682" customWidth="1"/>
    <col min="2039" max="2039" width="48.42578125" style="682" customWidth="1"/>
    <col min="2040" max="2040" width="9.140625" style="682" customWidth="1"/>
    <col min="2041" max="2041" width="7.28515625" style="682" customWidth="1"/>
    <col min="2042" max="2042" width="12" style="682" customWidth="1"/>
    <col min="2043" max="2043" width="14" style="682" customWidth="1"/>
    <col min="2044" max="2044" width="0" style="682" hidden="1" customWidth="1"/>
    <col min="2045" max="2045" width="8.7109375" style="682"/>
    <col min="2046" max="2046" width="10" style="682" customWidth="1"/>
    <col min="2047" max="2047" width="13" style="682" customWidth="1"/>
    <col min="2048" max="2293" width="8.7109375" style="682"/>
    <col min="2294" max="2294" width="8.28515625" style="682" customWidth="1"/>
    <col min="2295" max="2295" width="48.42578125" style="682" customWidth="1"/>
    <col min="2296" max="2296" width="9.140625" style="682" customWidth="1"/>
    <col min="2297" max="2297" width="7.28515625" style="682" customWidth="1"/>
    <col min="2298" max="2298" width="12" style="682" customWidth="1"/>
    <col min="2299" max="2299" width="14" style="682" customWidth="1"/>
    <col min="2300" max="2300" width="0" style="682" hidden="1" customWidth="1"/>
    <col min="2301" max="2301" width="8.7109375" style="682"/>
    <col min="2302" max="2302" width="10" style="682" customWidth="1"/>
    <col min="2303" max="2303" width="13" style="682" customWidth="1"/>
    <col min="2304" max="2549" width="8.7109375" style="682"/>
    <col min="2550" max="2550" width="8.28515625" style="682" customWidth="1"/>
    <col min="2551" max="2551" width="48.42578125" style="682" customWidth="1"/>
    <col min="2552" max="2552" width="9.140625" style="682" customWidth="1"/>
    <col min="2553" max="2553" width="7.28515625" style="682" customWidth="1"/>
    <col min="2554" max="2554" width="12" style="682" customWidth="1"/>
    <col min="2555" max="2555" width="14" style="682" customWidth="1"/>
    <col min="2556" max="2556" width="0" style="682" hidden="1" customWidth="1"/>
    <col min="2557" max="2557" width="8.7109375" style="682"/>
    <col min="2558" max="2558" width="10" style="682" customWidth="1"/>
    <col min="2559" max="2559" width="13" style="682" customWidth="1"/>
    <col min="2560" max="2805" width="8.7109375" style="682"/>
    <col min="2806" max="2806" width="8.28515625" style="682" customWidth="1"/>
    <col min="2807" max="2807" width="48.42578125" style="682" customWidth="1"/>
    <col min="2808" max="2808" width="9.140625" style="682" customWidth="1"/>
    <col min="2809" max="2809" width="7.28515625" style="682" customWidth="1"/>
    <col min="2810" max="2810" width="12" style="682" customWidth="1"/>
    <col min="2811" max="2811" width="14" style="682" customWidth="1"/>
    <col min="2812" max="2812" width="0" style="682" hidden="1" customWidth="1"/>
    <col min="2813" max="2813" width="8.7109375" style="682"/>
    <col min="2814" max="2814" width="10" style="682" customWidth="1"/>
    <col min="2815" max="2815" width="13" style="682" customWidth="1"/>
    <col min="2816" max="3061" width="8.7109375" style="682"/>
    <col min="3062" max="3062" width="8.28515625" style="682" customWidth="1"/>
    <col min="3063" max="3063" width="48.42578125" style="682" customWidth="1"/>
    <col min="3064" max="3064" width="9.140625" style="682" customWidth="1"/>
    <col min="3065" max="3065" width="7.28515625" style="682" customWidth="1"/>
    <col min="3066" max="3066" width="12" style="682" customWidth="1"/>
    <col min="3067" max="3067" width="14" style="682" customWidth="1"/>
    <col min="3068" max="3068" width="0" style="682" hidden="1" customWidth="1"/>
    <col min="3069" max="3069" width="8.7109375" style="682"/>
    <col min="3070" max="3070" width="10" style="682" customWidth="1"/>
    <col min="3071" max="3071" width="13" style="682" customWidth="1"/>
    <col min="3072" max="3317" width="8.7109375" style="682"/>
    <col min="3318" max="3318" width="8.28515625" style="682" customWidth="1"/>
    <col min="3319" max="3319" width="48.42578125" style="682" customWidth="1"/>
    <col min="3320" max="3320" width="9.140625" style="682" customWidth="1"/>
    <col min="3321" max="3321" width="7.28515625" style="682" customWidth="1"/>
    <col min="3322" max="3322" width="12" style="682" customWidth="1"/>
    <col min="3323" max="3323" width="14" style="682" customWidth="1"/>
    <col min="3324" max="3324" width="0" style="682" hidden="1" customWidth="1"/>
    <col min="3325" max="3325" width="8.7109375" style="682"/>
    <col min="3326" max="3326" width="10" style="682" customWidth="1"/>
    <col min="3327" max="3327" width="13" style="682" customWidth="1"/>
    <col min="3328" max="3573" width="8.7109375" style="682"/>
    <col min="3574" max="3574" width="8.28515625" style="682" customWidth="1"/>
    <col min="3575" max="3575" width="48.42578125" style="682" customWidth="1"/>
    <col min="3576" max="3576" width="9.140625" style="682" customWidth="1"/>
    <col min="3577" max="3577" width="7.28515625" style="682" customWidth="1"/>
    <col min="3578" max="3578" width="12" style="682" customWidth="1"/>
    <col min="3579" max="3579" width="14" style="682" customWidth="1"/>
    <col min="3580" max="3580" width="0" style="682" hidden="1" customWidth="1"/>
    <col min="3581" max="3581" width="8.7109375" style="682"/>
    <col min="3582" max="3582" width="10" style="682" customWidth="1"/>
    <col min="3583" max="3583" width="13" style="682" customWidth="1"/>
    <col min="3584" max="3829" width="8.7109375" style="682"/>
    <col min="3830" max="3830" width="8.28515625" style="682" customWidth="1"/>
    <col min="3831" max="3831" width="48.42578125" style="682" customWidth="1"/>
    <col min="3832" max="3832" width="9.140625" style="682" customWidth="1"/>
    <col min="3833" max="3833" width="7.28515625" style="682" customWidth="1"/>
    <col min="3834" max="3834" width="12" style="682" customWidth="1"/>
    <col min="3835" max="3835" width="14" style="682" customWidth="1"/>
    <col min="3836" max="3836" width="0" style="682" hidden="1" customWidth="1"/>
    <col min="3837" max="3837" width="8.7109375" style="682"/>
    <col min="3838" max="3838" width="10" style="682" customWidth="1"/>
    <col min="3839" max="3839" width="13" style="682" customWidth="1"/>
    <col min="3840" max="4085" width="8.7109375" style="682"/>
    <col min="4086" max="4086" width="8.28515625" style="682" customWidth="1"/>
    <col min="4087" max="4087" width="48.42578125" style="682" customWidth="1"/>
    <col min="4088" max="4088" width="9.140625" style="682" customWidth="1"/>
    <col min="4089" max="4089" width="7.28515625" style="682" customWidth="1"/>
    <col min="4090" max="4090" width="12" style="682" customWidth="1"/>
    <col min="4091" max="4091" width="14" style="682" customWidth="1"/>
    <col min="4092" max="4092" width="0" style="682" hidden="1" customWidth="1"/>
    <col min="4093" max="4093" width="8.7109375" style="682"/>
    <col min="4094" max="4094" width="10" style="682" customWidth="1"/>
    <col min="4095" max="4095" width="13" style="682" customWidth="1"/>
    <col min="4096" max="4341" width="8.7109375" style="682"/>
    <col min="4342" max="4342" width="8.28515625" style="682" customWidth="1"/>
    <col min="4343" max="4343" width="48.42578125" style="682" customWidth="1"/>
    <col min="4344" max="4344" width="9.140625" style="682" customWidth="1"/>
    <col min="4345" max="4345" width="7.28515625" style="682" customWidth="1"/>
    <col min="4346" max="4346" width="12" style="682" customWidth="1"/>
    <col min="4347" max="4347" width="14" style="682" customWidth="1"/>
    <col min="4348" max="4348" width="0" style="682" hidden="1" customWidth="1"/>
    <col min="4349" max="4349" width="8.7109375" style="682"/>
    <col min="4350" max="4350" width="10" style="682" customWidth="1"/>
    <col min="4351" max="4351" width="13" style="682" customWidth="1"/>
    <col min="4352" max="4597" width="8.7109375" style="682"/>
    <col min="4598" max="4598" width="8.28515625" style="682" customWidth="1"/>
    <col min="4599" max="4599" width="48.42578125" style="682" customWidth="1"/>
    <col min="4600" max="4600" width="9.140625" style="682" customWidth="1"/>
    <col min="4601" max="4601" width="7.28515625" style="682" customWidth="1"/>
    <col min="4602" max="4602" width="12" style="682" customWidth="1"/>
    <col min="4603" max="4603" width="14" style="682" customWidth="1"/>
    <col min="4604" max="4604" width="0" style="682" hidden="1" customWidth="1"/>
    <col min="4605" max="4605" width="8.7109375" style="682"/>
    <col min="4606" max="4606" width="10" style="682" customWidth="1"/>
    <col min="4607" max="4607" width="13" style="682" customWidth="1"/>
    <col min="4608" max="4853" width="8.7109375" style="682"/>
    <col min="4854" max="4854" width="8.28515625" style="682" customWidth="1"/>
    <col min="4855" max="4855" width="48.42578125" style="682" customWidth="1"/>
    <col min="4856" max="4856" width="9.140625" style="682" customWidth="1"/>
    <col min="4857" max="4857" width="7.28515625" style="682" customWidth="1"/>
    <col min="4858" max="4858" width="12" style="682" customWidth="1"/>
    <col min="4859" max="4859" width="14" style="682" customWidth="1"/>
    <col min="4860" max="4860" width="0" style="682" hidden="1" customWidth="1"/>
    <col min="4861" max="4861" width="8.7109375" style="682"/>
    <col min="4862" max="4862" width="10" style="682" customWidth="1"/>
    <col min="4863" max="4863" width="13" style="682" customWidth="1"/>
    <col min="4864" max="5109" width="8.7109375" style="682"/>
    <col min="5110" max="5110" width="8.28515625" style="682" customWidth="1"/>
    <col min="5111" max="5111" width="48.42578125" style="682" customWidth="1"/>
    <col min="5112" max="5112" width="9.140625" style="682" customWidth="1"/>
    <col min="5113" max="5113" width="7.28515625" style="682" customWidth="1"/>
    <col min="5114" max="5114" width="12" style="682" customWidth="1"/>
    <col min="5115" max="5115" width="14" style="682" customWidth="1"/>
    <col min="5116" max="5116" width="0" style="682" hidden="1" customWidth="1"/>
    <col min="5117" max="5117" width="8.7109375" style="682"/>
    <col min="5118" max="5118" width="10" style="682" customWidth="1"/>
    <col min="5119" max="5119" width="13" style="682" customWidth="1"/>
    <col min="5120" max="5365" width="8.7109375" style="682"/>
    <col min="5366" max="5366" width="8.28515625" style="682" customWidth="1"/>
    <col min="5367" max="5367" width="48.42578125" style="682" customWidth="1"/>
    <col min="5368" max="5368" width="9.140625" style="682" customWidth="1"/>
    <col min="5369" max="5369" width="7.28515625" style="682" customWidth="1"/>
    <col min="5370" max="5370" width="12" style="682" customWidth="1"/>
    <col min="5371" max="5371" width="14" style="682" customWidth="1"/>
    <col min="5372" max="5372" width="0" style="682" hidden="1" customWidth="1"/>
    <col min="5373" max="5373" width="8.7109375" style="682"/>
    <col min="5374" max="5374" width="10" style="682" customWidth="1"/>
    <col min="5375" max="5375" width="13" style="682" customWidth="1"/>
    <col min="5376" max="5621" width="8.7109375" style="682"/>
    <col min="5622" max="5622" width="8.28515625" style="682" customWidth="1"/>
    <col min="5623" max="5623" width="48.42578125" style="682" customWidth="1"/>
    <col min="5624" max="5624" width="9.140625" style="682" customWidth="1"/>
    <col min="5625" max="5625" width="7.28515625" style="682" customWidth="1"/>
    <col min="5626" max="5626" width="12" style="682" customWidth="1"/>
    <col min="5627" max="5627" width="14" style="682" customWidth="1"/>
    <col min="5628" max="5628" width="0" style="682" hidden="1" customWidth="1"/>
    <col min="5629" max="5629" width="8.7109375" style="682"/>
    <col min="5630" max="5630" width="10" style="682" customWidth="1"/>
    <col min="5631" max="5631" width="13" style="682" customWidth="1"/>
    <col min="5632" max="5877" width="8.7109375" style="682"/>
    <col min="5878" max="5878" width="8.28515625" style="682" customWidth="1"/>
    <col min="5879" max="5879" width="48.42578125" style="682" customWidth="1"/>
    <col min="5880" max="5880" width="9.140625" style="682" customWidth="1"/>
    <col min="5881" max="5881" width="7.28515625" style="682" customWidth="1"/>
    <col min="5882" max="5882" width="12" style="682" customWidth="1"/>
    <col min="5883" max="5883" width="14" style="682" customWidth="1"/>
    <col min="5884" max="5884" width="0" style="682" hidden="1" customWidth="1"/>
    <col min="5885" max="5885" width="8.7109375" style="682"/>
    <col min="5886" max="5886" width="10" style="682" customWidth="1"/>
    <col min="5887" max="5887" width="13" style="682" customWidth="1"/>
    <col min="5888" max="6133" width="8.7109375" style="682"/>
    <col min="6134" max="6134" width="8.28515625" style="682" customWidth="1"/>
    <col min="6135" max="6135" width="48.42578125" style="682" customWidth="1"/>
    <col min="6136" max="6136" width="9.140625" style="682" customWidth="1"/>
    <col min="6137" max="6137" width="7.28515625" style="682" customWidth="1"/>
    <col min="6138" max="6138" width="12" style="682" customWidth="1"/>
    <col min="6139" max="6139" width="14" style="682" customWidth="1"/>
    <col min="6140" max="6140" width="0" style="682" hidden="1" customWidth="1"/>
    <col min="6141" max="6141" width="8.7109375" style="682"/>
    <col min="6142" max="6142" width="10" style="682" customWidth="1"/>
    <col min="6143" max="6143" width="13" style="682" customWidth="1"/>
    <col min="6144" max="6389" width="8.7109375" style="682"/>
    <col min="6390" max="6390" width="8.28515625" style="682" customWidth="1"/>
    <col min="6391" max="6391" width="48.42578125" style="682" customWidth="1"/>
    <col min="6392" max="6392" width="9.140625" style="682" customWidth="1"/>
    <col min="6393" max="6393" width="7.28515625" style="682" customWidth="1"/>
    <col min="6394" max="6394" width="12" style="682" customWidth="1"/>
    <col min="6395" max="6395" width="14" style="682" customWidth="1"/>
    <col min="6396" max="6396" width="0" style="682" hidden="1" customWidth="1"/>
    <col min="6397" max="6397" width="8.7109375" style="682"/>
    <col min="6398" max="6398" width="10" style="682" customWidth="1"/>
    <col min="6399" max="6399" width="13" style="682" customWidth="1"/>
    <col min="6400" max="6645" width="8.7109375" style="682"/>
    <col min="6646" max="6646" width="8.28515625" style="682" customWidth="1"/>
    <col min="6647" max="6647" width="48.42578125" style="682" customWidth="1"/>
    <col min="6648" max="6648" width="9.140625" style="682" customWidth="1"/>
    <col min="6649" max="6649" width="7.28515625" style="682" customWidth="1"/>
    <col min="6650" max="6650" width="12" style="682" customWidth="1"/>
    <col min="6651" max="6651" width="14" style="682" customWidth="1"/>
    <col min="6652" max="6652" width="0" style="682" hidden="1" customWidth="1"/>
    <col min="6653" max="6653" width="8.7109375" style="682"/>
    <col min="6654" max="6654" width="10" style="682" customWidth="1"/>
    <col min="6655" max="6655" width="13" style="682" customWidth="1"/>
    <col min="6656" max="6901" width="8.7109375" style="682"/>
    <col min="6902" max="6902" width="8.28515625" style="682" customWidth="1"/>
    <col min="6903" max="6903" width="48.42578125" style="682" customWidth="1"/>
    <col min="6904" max="6904" width="9.140625" style="682" customWidth="1"/>
    <col min="6905" max="6905" width="7.28515625" style="682" customWidth="1"/>
    <col min="6906" max="6906" width="12" style="682" customWidth="1"/>
    <col min="6907" max="6907" width="14" style="682" customWidth="1"/>
    <col min="6908" max="6908" width="0" style="682" hidden="1" customWidth="1"/>
    <col min="6909" max="6909" width="8.7109375" style="682"/>
    <col min="6910" max="6910" width="10" style="682" customWidth="1"/>
    <col min="6911" max="6911" width="13" style="682" customWidth="1"/>
    <col min="6912" max="7157" width="8.7109375" style="682"/>
    <col min="7158" max="7158" width="8.28515625" style="682" customWidth="1"/>
    <col min="7159" max="7159" width="48.42578125" style="682" customWidth="1"/>
    <col min="7160" max="7160" width="9.140625" style="682" customWidth="1"/>
    <col min="7161" max="7161" width="7.28515625" style="682" customWidth="1"/>
    <col min="7162" max="7162" width="12" style="682" customWidth="1"/>
    <col min="7163" max="7163" width="14" style="682" customWidth="1"/>
    <col min="7164" max="7164" width="0" style="682" hidden="1" customWidth="1"/>
    <col min="7165" max="7165" width="8.7109375" style="682"/>
    <col min="7166" max="7166" width="10" style="682" customWidth="1"/>
    <col min="7167" max="7167" width="13" style="682" customWidth="1"/>
    <col min="7168" max="7413" width="8.7109375" style="682"/>
    <col min="7414" max="7414" width="8.28515625" style="682" customWidth="1"/>
    <col min="7415" max="7415" width="48.42578125" style="682" customWidth="1"/>
    <col min="7416" max="7416" width="9.140625" style="682" customWidth="1"/>
    <col min="7417" max="7417" width="7.28515625" style="682" customWidth="1"/>
    <col min="7418" max="7418" width="12" style="682" customWidth="1"/>
    <col min="7419" max="7419" width="14" style="682" customWidth="1"/>
    <col min="7420" max="7420" width="0" style="682" hidden="1" customWidth="1"/>
    <col min="7421" max="7421" width="8.7109375" style="682"/>
    <col min="7422" max="7422" width="10" style="682" customWidth="1"/>
    <col min="7423" max="7423" width="13" style="682" customWidth="1"/>
    <col min="7424" max="7669" width="8.7109375" style="682"/>
    <col min="7670" max="7670" width="8.28515625" style="682" customWidth="1"/>
    <col min="7671" max="7671" width="48.42578125" style="682" customWidth="1"/>
    <col min="7672" max="7672" width="9.140625" style="682" customWidth="1"/>
    <col min="7673" max="7673" width="7.28515625" style="682" customWidth="1"/>
    <col min="7674" max="7674" width="12" style="682" customWidth="1"/>
    <col min="7675" max="7675" width="14" style="682" customWidth="1"/>
    <col min="7676" max="7676" width="0" style="682" hidden="1" customWidth="1"/>
    <col min="7677" max="7677" width="8.7109375" style="682"/>
    <col min="7678" max="7678" width="10" style="682" customWidth="1"/>
    <col min="7679" max="7679" width="13" style="682" customWidth="1"/>
    <col min="7680" max="7925" width="8.7109375" style="682"/>
    <col min="7926" max="7926" width="8.28515625" style="682" customWidth="1"/>
    <col min="7927" max="7927" width="48.42578125" style="682" customWidth="1"/>
    <col min="7928" max="7928" width="9.140625" style="682" customWidth="1"/>
    <col min="7929" max="7929" width="7.28515625" style="682" customWidth="1"/>
    <col min="7930" max="7930" width="12" style="682" customWidth="1"/>
    <col min="7931" max="7931" width="14" style="682" customWidth="1"/>
    <col min="7932" max="7932" width="0" style="682" hidden="1" customWidth="1"/>
    <col min="7933" max="7933" width="8.7109375" style="682"/>
    <col min="7934" max="7934" width="10" style="682" customWidth="1"/>
    <col min="7935" max="7935" width="13" style="682" customWidth="1"/>
    <col min="7936" max="8181" width="8.7109375" style="682"/>
    <col min="8182" max="8182" width="8.28515625" style="682" customWidth="1"/>
    <col min="8183" max="8183" width="48.42578125" style="682" customWidth="1"/>
    <col min="8184" max="8184" width="9.140625" style="682" customWidth="1"/>
    <col min="8185" max="8185" width="7.28515625" style="682" customWidth="1"/>
    <col min="8186" max="8186" width="12" style="682" customWidth="1"/>
    <col min="8187" max="8187" width="14" style="682" customWidth="1"/>
    <col min="8188" max="8188" width="0" style="682" hidden="1" customWidth="1"/>
    <col min="8189" max="8189" width="8.7109375" style="682"/>
    <col min="8190" max="8190" width="10" style="682" customWidth="1"/>
    <col min="8191" max="8191" width="13" style="682" customWidth="1"/>
    <col min="8192" max="8437" width="8.7109375" style="682"/>
    <col min="8438" max="8438" width="8.28515625" style="682" customWidth="1"/>
    <col min="8439" max="8439" width="48.42578125" style="682" customWidth="1"/>
    <col min="8440" max="8440" width="9.140625" style="682" customWidth="1"/>
    <col min="8441" max="8441" width="7.28515625" style="682" customWidth="1"/>
    <col min="8442" max="8442" width="12" style="682" customWidth="1"/>
    <col min="8443" max="8443" width="14" style="682" customWidth="1"/>
    <col min="8444" max="8444" width="0" style="682" hidden="1" customWidth="1"/>
    <col min="8445" max="8445" width="8.7109375" style="682"/>
    <col min="8446" max="8446" width="10" style="682" customWidth="1"/>
    <col min="8447" max="8447" width="13" style="682" customWidth="1"/>
    <col min="8448" max="8693" width="8.7109375" style="682"/>
    <col min="8694" max="8694" width="8.28515625" style="682" customWidth="1"/>
    <col min="8695" max="8695" width="48.42578125" style="682" customWidth="1"/>
    <col min="8696" max="8696" width="9.140625" style="682" customWidth="1"/>
    <col min="8697" max="8697" width="7.28515625" style="682" customWidth="1"/>
    <col min="8698" max="8698" width="12" style="682" customWidth="1"/>
    <col min="8699" max="8699" width="14" style="682" customWidth="1"/>
    <col min="8700" max="8700" width="0" style="682" hidden="1" customWidth="1"/>
    <col min="8701" max="8701" width="8.7109375" style="682"/>
    <col min="8702" max="8702" width="10" style="682" customWidth="1"/>
    <col min="8703" max="8703" width="13" style="682" customWidth="1"/>
    <col min="8704" max="8949" width="8.7109375" style="682"/>
    <col min="8950" max="8950" width="8.28515625" style="682" customWidth="1"/>
    <col min="8951" max="8951" width="48.42578125" style="682" customWidth="1"/>
    <col min="8952" max="8952" width="9.140625" style="682" customWidth="1"/>
    <col min="8953" max="8953" width="7.28515625" style="682" customWidth="1"/>
    <col min="8954" max="8954" width="12" style="682" customWidth="1"/>
    <col min="8955" max="8955" width="14" style="682" customWidth="1"/>
    <col min="8956" max="8956" width="0" style="682" hidden="1" customWidth="1"/>
    <col min="8957" max="8957" width="8.7109375" style="682"/>
    <col min="8958" max="8958" width="10" style="682" customWidth="1"/>
    <col min="8959" max="8959" width="13" style="682" customWidth="1"/>
    <col min="8960" max="9205" width="8.7109375" style="682"/>
    <col min="9206" max="9206" width="8.28515625" style="682" customWidth="1"/>
    <col min="9207" max="9207" width="48.42578125" style="682" customWidth="1"/>
    <col min="9208" max="9208" width="9.140625" style="682" customWidth="1"/>
    <col min="9209" max="9209" width="7.28515625" style="682" customWidth="1"/>
    <col min="9210" max="9210" width="12" style="682" customWidth="1"/>
    <col min="9211" max="9211" width="14" style="682" customWidth="1"/>
    <col min="9212" max="9212" width="0" style="682" hidden="1" customWidth="1"/>
    <col min="9213" max="9213" width="8.7109375" style="682"/>
    <col min="9214" max="9214" width="10" style="682" customWidth="1"/>
    <col min="9215" max="9215" width="13" style="682" customWidth="1"/>
    <col min="9216" max="9461" width="8.7109375" style="682"/>
    <col min="9462" max="9462" width="8.28515625" style="682" customWidth="1"/>
    <col min="9463" max="9463" width="48.42578125" style="682" customWidth="1"/>
    <col min="9464" max="9464" width="9.140625" style="682" customWidth="1"/>
    <col min="9465" max="9465" width="7.28515625" style="682" customWidth="1"/>
    <col min="9466" max="9466" width="12" style="682" customWidth="1"/>
    <col min="9467" max="9467" width="14" style="682" customWidth="1"/>
    <col min="9468" max="9468" width="0" style="682" hidden="1" customWidth="1"/>
    <col min="9469" max="9469" width="8.7109375" style="682"/>
    <col min="9470" max="9470" width="10" style="682" customWidth="1"/>
    <col min="9471" max="9471" width="13" style="682" customWidth="1"/>
    <col min="9472" max="9717" width="8.7109375" style="682"/>
    <col min="9718" max="9718" width="8.28515625" style="682" customWidth="1"/>
    <col min="9719" max="9719" width="48.42578125" style="682" customWidth="1"/>
    <col min="9720" max="9720" width="9.140625" style="682" customWidth="1"/>
    <col min="9721" max="9721" width="7.28515625" style="682" customWidth="1"/>
    <col min="9722" max="9722" width="12" style="682" customWidth="1"/>
    <col min="9723" max="9723" width="14" style="682" customWidth="1"/>
    <col min="9724" max="9724" width="0" style="682" hidden="1" customWidth="1"/>
    <col min="9725" max="9725" width="8.7109375" style="682"/>
    <col min="9726" max="9726" width="10" style="682" customWidth="1"/>
    <col min="9727" max="9727" width="13" style="682" customWidth="1"/>
    <col min="9728" max="9973" width="8.7109375" style="682"/>
    <col min="9974" max="9974" width="8.28515625" style="682" customWidth="1"/>
    <col min="9975" max="9975" width="48.42578125" style="682" customWidth="1"/>
    <col min="9976" max="9976" width="9.140625" style="682" customWidth="1"/>
    <col min="9977" max="9977" width="7.28515625" style="682" customWidth="1"/>
    <col min="9978" max="9978" width="12" style="682" customWidth="1"/>
    <col min="9979" max="9979" width="14" style="682" customWidth="1"/>
    <col min="9980" max="9980" width="0" style="682" hidden="1" customWidth="1"/>
    <col min="9981" max="9981" width="8.7109375" style="682"/>
    <col min="9982" max="9982" width="10" style="682" customWidth="1"/>
    <col min="9983" max="9983" width="13" style="682" customWidth="1"/>
    <col min="9984" max="10229" width="8.7109375" style="682"/>
    <col min="10230" max="10230" width="8.28515625" style="682" customWidth="1"/>
    <col min="10231" max="10231" width="48.42578125" style="682" customWidth="1"/>
    <col min="10232" max="10232" width="9.140625" style="682" customWidth="1"/>
    <col min="10233" max="10233" width="7.28515625" style="682" customWidth="1"/>
    <col min="10234" max="10234" width="12" style="682" customWidth="1"/>
    <col min="10235" max="10235" width="14" style="682" customWidth="1"/>
    <col min="10236" max="10236" width="0" style="682" hidden="1" customWidth="1"/>
    <col min="10237" max="10237" width="8.7109375" style="682"/>
    <col min="10238" max="10238" width="10" style="682" customWidth="1"/>
    <col min="10239" max="10239" width="13" style="682" customWidth="1"/>
    <col min="10240" max="10485" width="8.7109375" style="682"/>
    <col min="10486" max="10486" width="8.28515625" style="682" customWidth="1"/>
    <col min="10487" max="10487" width="48.42578125" style="682" customWidth="1"/>
    <col min="10488" max="10488" width="9.140625" style="682" customWidth="1"/>
    <col min="10489" max="10489" width="7.28515625" style="682" customWidth="1"/>
    <col min="10490" max="10490" width="12" style="682" customWidth="1"/>
    <col min="10491" max="10491" width="14" style="682" customWidth="1"/>
    <col min="10492" max="10492" width="0" style="682" hidden="1" customWidth="1"/>
    <col min="10493" max="10493" width="8.7109375" style="682"/>
    <col min="10494" max="10494" width="10" style="682" customWidth="1"/>
    <col min="10495" max="10495" width="13" style="682" customWidth="1"/>
    <col min="10496" max="10741" width="8.7109375" style="682"/>
    <col min="10742" max="10742" width="8.28515625" style="682" customWidth="1"/>
    <col min="10743" max="10743" width="48.42578125" style="682" customWidth="1"/>
    <col min="10744" max="10744" width="9.140625" style="682" customWidth="1"/>
    <col min="10745" max="10745" width="7.28515625" style="682" customWidth="1"/>
    <col min="10746" max="10746" width="12" style="682" customWidth="1"/>
    <col min="10747" max="10747" width="14" style="682" customWidth="1"/>
    <col min="10748" max="10748" width="0" style="682" hidden="1" customWidth="1"/>
    <col min="10749" max="10749" width="8.7109375" style="682"/>
    <col min="10750" max="10750" width="10" style="682" customWidth="1"/>
    <col min="10751" max="10751" width="13" style="682" customWidth="1"/>
    <col min="10752" max="10997" width="8.7109375" style="682"/>
    <col min="10998" max="10998" width="8.28515625" style="682" customWidth="1"/>
    <col min="10999" max="10999" width="48.42578125" style="682" customWidth="1"/>
    <col min="11000" max="11000" width="9.140625" style="682" customWidth="1"/>
    <col min="11001" max="11001" width="7.28515625" style="682" customWidth="1"/>
    <col min="11002" max="11002" width="12" style="682" customWidth="1"/>
    <col min="11003" max="11003" width="14" style="682" customWidth="1"/>
    <col min="11004" max="11004" width="0" style="682" hidden="1" customWidth="1"/>
    <col min="11005" max="11005" width="8.7109375" style="682"/>
    <col min="11006" max="11006" width="10" style="682" customWidth="1"/>
    <col min="11007" max="11007" width="13" style="682" customWidth="1"/>
    <col min="11008" max="11253" width="8.7109375" style="682"/>
    <col min="11254" max="11254" width="8.28515625" style="682" customWidth="1"/>
    <col min="11255" max="11255" width="48.42578125" style="682" customWidth="1"/>
    <col min="11256" max="11256" width="9.140625" style="682" customWidth="1"/>
    <col min="11257" max="11257" width="7.28515625" style="682" customWidth="1"/>
    <col min="11258" max="11258" width="12" style="682" customWidth="1"/>
    <col min="11259" max="11259" width="14" style="682" customWidth="1"/>
    <col min="11260" max="11260" width="0" style="682" hidden="1" customWidth="1"/>
    <col min="11261" max="11261" width="8.7109375" style="682"/>
    <col min="11262" max="11262" width="10" style="682" customWidth="1"/>
    <col min="11263" max="11263" width="13" style="682" customWidth="1"/>
    <col min="11264" max="11509" width="8.7109375" style="682"/>
    <col min="11510" max="11510" width="8.28515625" style="682" customWidth="1"/>
    <col min="11511" max="11511" width="48.42578125" style="682" customWidth="1"/>
    <col min="11512" max="11512" width="9.140625" style="682" customWidth="1"/>
    <col min="11513" max="11513" width="7.28515625" style="682" customWidth="1"/>
    <col min="11514" max="11514" width="12" style="682" customWidth="1"/>
    <col min="11515" max="11515" width="14" style="682" customWidth="1"/>
    <col min="11516" max="11516" width="0" style="682" hidden="1" customWidth="1"/>
    <col min="11517" max="11517" width="8.7109375" style="682"/>
    <col min="11518" max="11518" width="10" style="682" customWidth="1"/>
    <col min="11519" max="11519" width="13" style="682" customWidth="1"/>
    <col min="11520" max="11765" width="8.7109375" style="682"/>
    <col min="11766" max="11766" width="8.28515625" style="682" customWidth="1"/>
    <col min="11767" max="11767" width="48.42578125" style="682" customWidth="1"/>
    <col min="11768" max="11768" width="9.140625" style="682" customWidth="1"/>
    <col min="11769" max="11769" width="7.28515625" style="682" customWidth="1"/>
    <col min="11770" max="11770" width="12" style="682" customWidth="1"/>
    <col min="11771" max="11771" width="14" style="682" customWidth="1"/>
    <col min="11772" max="11772" width="0" style="682" hidden="1" customWidth="1"/>
    <col min="11773" max="11773" width="8.7109375" style="682"/>
    <col min="11774" max="11774" width="10" style="682" customWidth="1"/>
    <col min="11775" max="11775" width="13" style="682" customWidth="1"/>
    <col min="11776" max="12021" width="8.7109375" style="682"/>
    <col min="12022" max="12022" width="8.28515625" style="682" customWidth="1"/>
    <col min="12023" max="12023" width="48.42578125" style="682" customWidth="1"/>
    <col min="12024" max="12024" width="9.140625" style="682" customWidth="1"/>
    <col min="12025" max="12025" width="7.28515625" style="682" customWidth="1"/>
    <col min="12026" max="12026" width="12" style="682" customWidth="1"/>
    <col min="12027" max="12027" width="14" style="682" customWidth="1"/>
    <col min="12028" max="12028" width="0" style="682" hidden="1" customWidth="1"/>
    <col min="12029" max="12029" width="8.7109375" style="682"/>
    <col min="12030" max="12030" width="10" style="682" customWidth="1"/>
    <col min="12031" max="12031" width="13" style="682" customWidth="1"/>
    <col min="12032" max="12277" width="8.7109375" style="682"/>
    <col min="12278" max="12278" width="8.28515625" style="682" customWidth="1"/>
    <col min="12279" max="12279" width="48.42578125" style="682" customWidth="1"/>
    <col min="12280" max="12280" width="9.140625" style="682" customWidth="1"/>
    <col min="12281" max="12281" width="7.28515625" style="682" customWidth="1"/>
    <col min="12282" max="12282" width="12" style="682" customWidth="1"/>
    <col min="12283" max="12283" width="14" style="682" customWidth="1"/>
    <col min="12284" max="12284" width="0" style="682" hidden="1" customWidth="1"/>
    <col min="12285" max="12285" width="8.7109375" style="682"/>
    <col min="12286" max="12286" width="10" style="682" customWidth="1"/>
    <col min="12287" max="12287" width="13" style="682" customWidth="1"/>
    <col min="12288" max="12533" width="8.7109375" style="682"/>
    <col min="12534" max="12534" width="8.28515625" style="682" customWidth="1"/>
    <col min="12535" max="12535" width="48.42578125" style="682" customWidth="1"/>
    <col min="12536" max="12536" width="9.140625" style="682" customWidth="1"/>
    <col min="12537" max="12537" width="7.28515625" style="682" customWidth="1"/>
    <col min="12538" max="12538" width="12" style="682" customWidth="1"/>
    <col min="12539" max="12539" width="14" style="682" customWidth="1"/>
    <col min="12540" max="12540" width="0" style="682" hidden="1" customWidth="1"/>
    <col min="12541" max="12541" width="8.7109375" style="682"/>
    <col min="12542" max="12542" width="10" style="682" customWidth="1"/>
    <col min="12543" max="12543" width="13" style="682" customWidth="1"/>
    <col min="12544" max="12789" width="8.7109375" style="682"/>
    <col min="12790" max="12790" width="8.28515625" style="682" customWidth="1"/>
    <col min="12791" max="12791" width="48.42578125" style="682" customWidth="1"/>
    <col min="12792" max="12792" width="9.140625" style="682" customWidth="1"/>
    <col min="12793" max="12793" width="7.28515625" style="682" customWidth="1"/>
    <col min="12794" max="12794" width="12" style="682" customWidth="1"/>
    <col min="12795" max="12795" width="14" style="682" customWidth="1"/>
    <col min="12796" max="12796" width="0" style="682" hidden="1" customWidth="1"/>
    <col min="12797" max="12797" width="8.7109375" style="682"/>
    <col min="12798" max="12798" width="10" style="682" customWidth="1"/>
    <col min="12799" max="12799" width="13" style="682" customWidth="1"/>
    <col min="12800" max="13045" width="8.7109375" style="682"/>
    <col min="13046" max="13046" width="8.28515625" style="682" customWidth="1"/>
    <col min="13047" max="13047" width="48.42578125" style="682" customWidth="1"/>
    <col min="13048" max="13048" width="9.140625" style="682" customWidth="1"/>
    <col min="13049" max="13049" width="7.28515625" style="682" customWidth="1"/>
    <col min="13050" max="13050" width="12" style="682" customWidth="1"/>
    <col min="13051" max="13051" width="14" style="682" customWidth="1"/>
    <col min="13052" max="13052" width="0" style="682" hidden="1" customWidth="1"/>
    <col min="13053" max="13053" width="8.7109375" style="682"/>
    <col min="13054" max="13054" width="10" style="682" customWidth="1"/>
    <col min="13055" max="13055" width="13" style="682" customWidth="1"/>
    <col min="13056" max="13301" width="8.7109375" style="682"/>
    <col min="13302" max="13302" width="8.28515625" style="682" customWidth="1"/>
    <col min="13303" max="13303" width="48.42578125" style="682" customWidth="1"/>
    <col min="13304" max="13304" width="9.140625" style="682" customWidth="1"/>
    <col min="13305" max="13305" width="7.28515625" style="682" customWidth="1"/>
    <col min="13306" max="13306" width="12" style="682" customWidth="1"/>
    <col min="13307" max="13307" width="14" style="682" customWidth="1"/>
    <col min="13308" max="13308" width="0" style="682" hidden="1" customWidth="1"/>
    <col min="13309" max="13309" width="8.7109375" style="682"/>
    <col min="13310" max="13310" width="10" style="682" customWidth="1"/>
    <col min="13311" max="13311" width="13" style="682" customWidth="1"/>
    <col min="13312" max="13557" width="8.7109375" style="682"/>
    <col min="13558" max="13558" width="8.28515625" style="682" customWidth="1"/>
    <col min="13559" max="13559" width="48.42578125" style="682" customWidth="1"/>
    <col min="13560" max="13560" width="9.140625" style="682" customWidth="1"/>
    <col min="13561" max="13561" width="7.28515625" style="682" customWidth="1"/>
    <col min="13562" max="13562" width="12" style="682" customWidth="1"/>
    <col min="13563" max="13563" width="14" style="682" customWidth="1"/>
    <col min="13564" max="13564" width="0" style="682" hidden="1" customWidth="1"/>
    <col min="13565" max="13565" width="8.7109375" style="682"/>
    <col min="13566" max="13566" width="10" style="682" customWidth="1"/>
    <col min="13567" max="13567" width="13" style="682" customWidth="1"/>
    <col min="13568" max="13813" width="8.7109375" style="682"/>
    <col min="13814" max="13814" width="8.28515625" style="682" customWidth="1"/>
    <col min="13815" max="13815" width="48.42578125" style="682" customWidth="1"/>
    <col min="13816" max="13816" width="9.140625" style="682" customWidth="1"/>
    <col min="13817" max="13817" width="7.28515625" style="682" customWidth="1"/>
    <col min="13818" max="13818" width="12" style="682" customWidth="1"/>
    <col min="13819" max="13819" width="14" style="682" customWidth="1"/>
    <col min="13820" max="13820" width="0" style="682" hidden="1" customWidth="1"/>
    <col min="13821" max="13821" width="8.7109375" style="682"/>
    <col min="13822" max="13822" width="10" style="682" customWidth="1"/>
    <col min="13823" max="13823" width="13" style="682" customWidth="1"/>
    <col min="13824" max="14069" width="8.7109375" style="682"/>
    <col min="14070" max="14070" width="8.28515625" style="682" customWidth="1"/>
    <col min="14071" max="14071" width="48.42578125" style="682" customWidth="1"/>
    <col min="14072" max="14072" width="9.140625" style="682" customWidth="1"/>
    <col min="14073" max="14073" width="7.28515625" style="682" customWidth="1"/>
    <col min="14074" max="14074" width="12" style="682" customWidth="1"/>
    <col min="14075" max="14075" width="14" style="682" customWidth="1"/>
    <col min="14076" max="14076" width="0" style="682" hidden="1" customWidth="1"/>
    <col min="14077" max="14077" width="8.7109375" style="682"/>
    <col min="14078" max="14078" width="10" style="682" customWidth="1"/>
    <col min="14079" max="14079" width="13" style="682" customWidth="1"/>
    <col min="14080" max="14325" width="8.7109375" style="682"/>
    <col min="14326" max="14326" width="8.28515625" style="682" customWidth="1"/>
    <col min="14327" max="14327" width="48.42578125" style="682" customWidth="1"/>
    <col min="14328" max="14328" width="9.140625" style="682" customWidth="1"/>
    <col min="14329" max="14329" width="7.28515625" style="682" customWidth="1"/>
    <col min="14330" max="14330" width="12" style="682" customWidth="1"/>
    <col min="14331" max="14331" width="14" style="682" customWidth="1"/>
    <col min="14332" max="14332" width="0" style="682" hidden="1" customWidth="1"/>
    <col min="14333" max="14333" width="8.7109375" style="682"/>
    <col min="14334" max="14334" width="10" style="682" customWidth="1"/>
    <col min="14335" max="14335" width="13" style="682" customWidth="1"/>
    <col min="14336" max="14581" width="8.7109375" style="682"/>
    <col min="14582" max="14582" width="8.28515625" style="682" customWidth="1"/>
    <col min="14583" max="14583" width="48.42578125" style="682" customWidth="1"/>
    <col min="14584" max="14584" width="9.140625" style="682" customWidth="1"/>
    <col min="14585" max="14585" width="7.28515625" style="682" customWidth="1"/>
    <col min="14586" max="14586" width="12" style="682" customWidth="1"/>
    <col min="14587" max="14587" width="14" style="682" customWidth="1"/>
    <col min="14588" max="14588" width="0" style="682" hidden="1" customWidth="1"/>
    <col min="14589" max="14589" width="8.7109375" style="682"/>
    <col min="14590" max="14590" width="10" style="682" customWidth="1"/>
    <col min="14591" max="14591" width="13" style="682" customWidth="1"/>
    <col min="14592" max="14837" width="8.7109375" style="682"/>
    <col min="14838" max="14838" width="8.28515625" style="682" customWidth="1"/>
    <col min="14839" max="14839" width="48.42578125" style="682" customWidth="1"/>
    <col min="14840" max="14840" width="9.140625" style="682" customWidth="1"/>
    <col min="14841" max="14841" width="7.28515625" style="682" customWidth="1"/>
    <col min="14842" max="14842" width="12" style="682" customWidth="1"/>
    <col min="14843" max="14843" width="14" style="682" customWidth="1"/>
    <col min="14844" max="14844" width="0" style="682" hidden="1" customWidth="1"/>
    <col min="14845" max="14845" width="8.7109375" style="682"/>
    <col min="14846" max="14846" width="10" style="682" customWidth="1"/>
    <col min="14847" max="14847" width="13" style="682" customWidth="1"/>
    <col min="14848" max="15093" width="8.7109375" style="682"/>
    <col min="15094" max="15094" width="8.28515625" style="682" customWidth="1"/>
    <col min="15095" max="15095" width="48.42578125" style="682" customWidth="1"/>
    <col min="15096" max="15096" width="9.140625" style="682" customWidth="1"/>
    <col min="15097" max="15097" width="7.28515625" style="682" customWidth="1"/>
    <col min="15098" max="15098" width="12" style="682" customWidth="1"/>
    <col min="15099" max="15099" width="14" style="682" customWidth="1"/>
    <col min="15100" max="15100" width="0" style="682" hidden="1" customWidth="1"/>
    <col min="15101" max="15101" width="8.7109375" style="682"/>
    <col min="15102" max="15102" width="10" style="682" customWidth="1"/>
    <col min="15103" max="15103" width="13" style="682" customWidth="1"/>
    <col min="15104" max="15349" width="8.7109375" style="682"/>
    <col min="15350" max="15350" width="8.28515625" style="682" customWidth="1"/>
    <col min="15351" max="15351" width="48.42578125" style="682" customWidth="1"/>
    <col min="15352" max="15352" width="9.140625" style="682" customWidth="1"/>
    <col min="15353" max="15353" width="7.28515625" style="682" customWidth="1"/>
    <col min="15354" max="15354" width="12" style="682" customWidth="1"/>
    <col min="15355" max="15355" width="14" style="682" customWidth="1"/>
    <col min="15356" max="15356" width="0" style="682" hidden="1" customWidth="1"/>
    <col min="15357" max="15357" width="8.7109375" style="682"/>
    <col min="15358" max="15358" width="10" style="682" customWidth="1"/>
    <col min="15359" max="15359" width="13" style="682" customWidth="1"/>
    <col min="15360" max="15605" width="8.7109375" style="682"/>
    <col min="15606" max="15606" width="8.28515625" style="682" customWidth="1"/>
    <col min="15607" max="15607" width="48.42578125" style="682" customWidth="1"/>
    <col min="15608" max="15608" width="9.140625" style="682" customWidth="1"/>
    <col min="15609" max="15609" width="7.28515625" style="682" customWidth="1"/>
    <col min="15610" max="15610" width="12" style="682" customWidth="1"/>
    <col min="15611" max="15611" width="14" style="682" customWidth="1"/>
    <col min="15612" max="15612" width="0" style="682" hidden="1" customWidth="1"/>
    <col min="15613" max="15613" width="8.7109375" style="682"/>
    <col min="15614" max="15614" width="10" style="682" customWidth="1"/>
    <col min="15615" max="15615" width="13" style="682" customWidth="1"/>
    <col min="15616" max="15861" width="8.7109375" style="682"/>
    <col min="15862" max="15862" width="8.28515625" style="682" customWidth="1"/>
    <col min="15863" max="15863" width="48.42578125" style="682" customWidth="1"/>
    <col min="15864" max="15864" width="9.140625" style="682" customWidth="1"/>
    <col min="15865" max="15865" width="7.28515625" style="682" customWidth="1"/>
    <col min="15866" max="15866" width="12" style="682" customWidth="1"/>
    <col min="15867" max="15867" width="14" style="682" customWidth="1"/>
    <col min="15868" max="15868" width="0" style="682" hidden="1" customWidth="1"/>
    <col min="15869" max="15869" width="8.7109375" style="682"/>
    <col min="15870" max="15870" width="10" style="682" customWidth="1"/>
    <col min="15871" max="15871" width="13" style="682" customWidth="1"/>
    <col min="15872" max="16117" width="8.7109375" style="682"/>
    <col min="16118" max="16118" width="8.28515625" style="682" customWidth="1"/>
    <col min="16119" max="16119" width="48.42578125" style="682" customWidth="1"/>
    <col min="16120" max="16120" width="9.140625" style="682" customWidth="1"/>
    <col min="16121" max="16121" width="7.28515625" style="682" customWidth="1"/>
    <col min="16122" max="16122" width="12" style="682" customWidth="1"/>
    <col min="16123" max="16123" width="14" style="682" customWidth="1"/>
    <col min="16124" max="16124" width="0" style="682" hidden="1" customWidth="1"/>
    <col min="16125" max="16125" width="8.7109375" style="682"/>
    <col min="16126" max="16126" width="10" style="682" customWidth="1"/>
    <col min="16127" max="16127" width="13" style="682" customWidth="1"/>
    <col min="16128" max="16384" width="8.7109375" style="682"/>
  </cols>
  <sheetData>
    <row r="1" spans="1:7" s="665" customFormat="1" ht="18.75" customHeight="1">
      <c r="A1" s="666"/>
      <c r="B1" s="1106" t="s">
        <v>1152</v>
      </c>
      <c r="C1" s="667"/>
      <c r="D1" s="667"/>
      <c r="E1" s="667"/>
      <c r="F1" s="668"/>
      <c r="G1" s="669"/>
    </row>
    <row r="2" spans="1:7" s="665" customFormat="1" ht="18" customHeight="1">
      <c r="B2" s="1106" t="s">
        <v>1144</v>
      </c>
      <c r="C2" s="704"/>
      <c r="D2" s="704"/>
      <c r="E2" s="704"/>
      <c r="F2" s="704"/>
      <c r="G2" s="704"/>
    </row>
    <row r="3" spans="1:7" s="665" customFormat="1" ht="14.25">
      <c r="A3" s="705"/>
      <c r="B3" s="705"/>
      <c r="C3" s="705"/>
      <c r="D3" s="705"/>
      <c r="E3" s="705"/>
      <c r="F3" s="705"/>
      <c r="G3" s="705"/>
    </row>
    <row r="4" spans="1:7" s="674" customFormat="1" ht="42" customHeight="1">
      <c r="A4" s="766" t="s">
        <v>891</v>
      </c>
      <c r="B4" s="767" t="s">
        <v>892</v>
      </c>
      <c r="C4" s="768" t="s">
        <v>894</v>
      </c>
      <c r="D4" s="768" t="s">
        <v>1</v>
      </c>
      <c r="E4" s="769" t="s">
        <v>893</v>
      </c>
      <c r="F4" s="769" t="s">
        <v>1234</v>
      </c>
      <c r="G4" s="769" t="s">
        <v>1233</v>
      </c>
    </row>
    <row r="5" spans="1:7" s="665" customFormat="1" ht="15">
      <c r="A5" s="670"/>
      <c r="B5" s="675"/>
      <c r="C5" s="675"/>
      <c r="D5" s="676"/>
      <c r="E5" s="676"/>
      <c r="F5" s="673"/>
      <c r="G5" s="673"/>
    </row>
    <row r="6" spans="1:7" ht="16.5" customHeight="1">
      <c r="A6" s="794"/>
      <c r="B6" s="795" t="s">
        <v>723</v>
      </c>
      <c r="C6" s="795"/>
      <c r="D6" s="797"/>
      <c r="E6" s="796"/>
      <c r="F6" s="798"/>
      <c r="G6" s="799"/>
    </row>
    <row r="7" spans="1:7" ht="12.75" customHeight="1">
      <c r="A7" s="677"/>
      <c r="B7" s="683"/>
      <c r="C7" s="683"/>
    </row>
    <row r="8" spans="1:7" ht="15.75">
      <c r="A8" s="706"/>
      <c r="B8" s="1535" t="s">
        <v>1093</v>
      </c>
      <c r="C8" s="1516"/>
      <c r="D8" s="1516"/>
      <c r="E8" s="1516"/>
      <c r="F8" s="1516"/>
      <c r="G8" s="1538"/>
    </row>
    <row r="9" spans="1:7" ht="12.75" customHeight="1">
      <c r="A9" s="677"/>
      <c r="B9" s="2"/>
      <c r="C9" s="1474"/>
      <c r="D9" s="672"/>
      <c r="E9" s="671"/>
      <c r="F9" s="673"/>
      <c r="G9" s="673"/>
    </row>
    <row r="10" spans="1:7" ht="19.5" customHeight="1">
      <c r="A10" s="707" t="s">
        <v>60</v>
      </c>
      <c r="B10" s="714" t="s">
        <v>724</v>
      </c>
      <c r="C10" s="1231"/>
      <c r="D10" s="709"/>
      <c r="E10" s="708"/>
      <c r="F10" s="710"/>
      <c r="G10" s="710"/>
    </row>
    <row r="11" spans="1:7" ht="15.75">
      <c r="A11" s="707"/>
      <c r="B11" s="711" t="s">
        <v>725</v>
      </c>
      <c r="C11" s="1472"/>
      <c r="D11" s="709" t="s">
        <v>176</v>
      </c>
      <c r="E11" s="759">
        <v>526.79999999999995</v>
      </c>
      <c r="F11" s="802"/>
      <c r="G11" s="712">
        <f>SUM(E11*F11)</f>
        <v>0</v>
      </c>
    </row>
    <row r="12" spans="1:7" ht="15.75">
      <c r="A12" s="707"/>
      <c r="B12" s="711" t="s">
        <v>726</v>
      </c>
      <c r="C12" s="1472"/>
      <c r="D12" s="709" t="s">
        <v>176</v>
      </c>
      <c r="E12" s="759">
        <v>106.1</v>
      </c>
      <c r="F12" s="802"/>
      <c r="G12" s="712">
        <f>SUM(E12*F12)</f>
        <v>0</v>
      </c>
    </row>
    <row r="13" spans="1:7" ht="15.75">
      <c r="A13" s="707"/>
      <c r="B13" s="711" t="s">
        <v>727</v>
      </c>
      <c r="C13" s="1472"/>
      <c r="D13" s="709" t="s">
        <v>176</v>
      </c>
      <c r="E13" s="759">
        <v>81.5</v>
      </c>
      <c r="F13" s="802"/>
      <c r="G13" s="712">
        <f>SUM(E13*F13)</f>
        <v>0</v>
      </c>
    </row>
    <row r="14" spans="1:7" s="681" customFormat="1" ht="12.75" customHeight="1">
      <c r="A14" s="713"/>
      <c r="B14" s="711"/>
      <c r="C14" s="1472"/>
      <c r="D14" s="709"/>
      <c r="E14" s="759"/>
      <c r="F14" s="712"/>
      <c r="G14" s="712"/>
    </row>
    <row r="15" spans="1:7" s="681" customFormat="1" ht="15.75">
      <c r="A15" s="707" t="s">
        <v>63</v>
      </c>
      <c r="B15" s="714" t="s">
        <v>728</v>
      </c>
      <c r="C15" s="1231"/>
      <c r="D15" s="709"/>
      <c r="E15" s="759"/>
      <c r="F15" s="712"/>
      <c r="G15" s="712"/>
    </row>
    <row r="16" spans="1:7" s="681" customFormat="1" ht="15.75">
      <c r="A16" s="707"/>
      <c r="B16" s="711" t="s">
        <v>725</v>
      </c>
      <c r="C16" s="1475"/>
      <c r="D16" s="709" t="s">
        <v>176</v>
      </c>
      <c r="E16" s="759">
        <v>526.79999999999995</v>
      </c>
      <c r="F16" s="802"/>
      <c r="G16" s="712">
        <f>SUM(E16*F16)</f>
        <v>0</v>
      </c>
    </row>
    <row r="17" spans="1:7" s="681" customFormat="1" ht="15.75">
      <c r="A17" s="707"/>
      <c r="B17" s="711" t="s">
        <v>726</v>
      </c>
      <c r="C17" s="1472"/>
      <c r="D17" s="709" t="s">
        <v>176</v>
      </c>
      <c r="E17" s="759">
        <v>106.1</v>
      </c>
      <c r="F17" s="802"/>
      <c r="G17" s="712">
        <f>SUM(E17*F17)</f>
        <v>0</v>
      </c>
    </row>
    <row r="18" spans="1:7" s="681" customFormat="1" ht="15.75">
      <c r="A18" s="707"/>
      <c r="B18" s="711" t="s">
        <v>727</v>
      </c>
      <c r="C18" s="1472"/>
      <c r="D18" s="709" t="s">
        <v>176</v>
      </c>
      <c r="E18" s="759">
        <v>81.5</v>
      </c>
      <c r="F18" s="802"/>
      <c r="G18" s="712">
        <f>SUM(E18*F18)</f>
        <v>0</v>
      </c>
    </row>
    <row r="19" spans="1:7" s="681" customFormat="1" ht="15.75">
      <c r="A19" s="628"/>
      <c r="B19" s="800" t="s">
        <v>923</v>
      </c>
      <c r="C19" s="1236"/>
      <c r="D19" s="630"/>
      <c r="E19" s="628"/>
      <c r="F19" s="732"/>
      <c r="G19" s="733">
        <f>SUM(G10:G18)</f>
        <v>0</v>
      </c>
    </row>
    <row r="20" spans="1:7" s="681" customFormat="1" ht="12.75" customHeight="1">
      <c r="A20" s="689"/>
      <c r="B20" s="690"/>
      <c r="C20" s="1471"/>
      <c r="D20" s="672"/>
      <c r="E20" s="671"/>
      <c r="F20" s="673"/>
      <c r="G20" s="673"/>
    </row>
    <row r="21" spans="1:7" s="681" customFormat="1" ht="15.75">
      <c r="A21" s="706"/>
      <c r="B21" s="1535" t="s">
        <v>1094</v>
      </c>
      <c r="C21" s="1536"/>
      <c r="D21" s="1536"/>
      <c r="E21" s="1536"/>
      <c r="F21" s="1536"/>
      <c r="G21" s="1537"/>
    </row>
    <row r="22" spans="1:7" s="681" customFormat="1" ht="15">
      <c r="A22" s="689"/>
      <c r="B22" s="690"/>
      <c r="C22" s="1471"/>
      <c r="D22" s="672"/>
      <c r="E22" s="671"/>
      <c r="F22" s="673"/>
      <c r="G22" s="673"/>
    </row>
    <row r="23" spans="1:7" s="681" customFormat="1" ht="15.75">
      <c r="A23" s="707" t="s">
        <v>60</v>
      </c>
      <c r="B23" s="760" t="s">
        <v>729</v>
      </c>
      <c r="C23" s="1231" t="s">
        <v>937</v>
      </c>
      <c r="D23" s="707"/>
      <c r="E23" s="709"/>
      <c r="F23" s="712"/>
      <c r="G23" s="712"/>
    </row>
    <row r="24" spans="1:7" s="681" customFormat="1" ht="18.75">
      <c r="A24" s="717"/>
      <c r="B24" s="711" t="s">
        <v>725</v>
      </c>
      <c r="C24" s="1472"/>
      <c r="D24" s="707" t="s">
        <v>513</v>
      </c>
      <c r="E24" s="759">
        <v>895.3</v>
      </c>
      <c r="F24" s="802"/>
      <c r="G24" s="712">
        <f>SUM(E24*F24)</f>
        <v>0</v>
      </c>
    </row>
    <row r="25" spans="1:7" s="681" customFormat="1" ht="18.75">
      <c r="A25" s="717"/>
      <c r="B25" s="711" t="s">
        <v>726</v>
      </c>
      <c r="C25" s="1472"/>
      <c r="D25" s="707" t="s">
        <v>513</v>
      </c>
      <c r="E25" s="759">
        <v>186.83</v>
      </c>
      <c r="F25" s="802"/>
      <c r="G25" s="712">
        <f>SUM(E25*F25)</f>
        <v>0</v>
      </c>
    </row>
    <row r="26" spans="1:7" s="681" customFormat="1" ht="18.75">
      <c r="A26" s="717"/>
      <c r="B26" s="711" t="s">
        <v>727</v>
      </c>
      <c r="C26" s="1472"/>
      <c r="D26" s="707" t="s">
        <v>513</v>
      </c>
      <c r="E26" s="759">
        <v>190</v>
      </c>
      <c r="F26" s="802"/>
      <c r="G26" s="712">
        <f>SUM(E26*F26)</f>
        <v>0</v>
      </c>
    </row>
    <row r="27" spans="1:7" s="681" customFormat="1" ht="12.75" customHeight="1">
      <c r="A27" s="717"/>
      <c r="B27" s="718"/>
      <c r="C27" s="1473"/>
      <c r="D27" s="709"/>
      <c r="E27" s="759"/>
      <c r="F27" s="712"/>
      <c r="G27" s="712"/>
    </row>
    <row r="28" spans="1:7" s="681" customFormat="1" ht="15.75">
      <c r="A28" s="707" t="s">
        <v>63</v>
      </c>
      <c r="B28" s="760" t="s">
        <v>730</v>
      </c>
      <c r="C28" s="1231" t="s">
        <v>937</v>
      </c>
      <c r="D28" s="709"/>
      <c r="E28" s="759"/>
      <c r="F28" s="712"/>
      <c r="G28" s="712"/>
    </row>
    <row r="29" spans="1:7" s="681" customFormat="1" ht="18.75">
      <c r="A29" s="717"/>
      <c r="B29" s="711" t="s">
        <v>725</v>
      </c>
      <c r="C29" s="1472"/>
      <c r="D29" s="707" t="s">
        <v>513</v>
      </c>
      <c r="E29" s="759">
        <v>227.2</v>
      </c>
      <c r="F29" s="802"/>
      <c r="G29" s="712">
        <f>SUM(E29*F29)</f>
        <v>0</v>
      </c>
    </row>
    <row r="30" spans="1:7" s="681" customFormat="1" ht="18.75">
      <c r="A30" s="717"/>
      <c r="B30" s="711" t="s">
        <v>726</v>
      </c>
      <c r="C30" s="1472"/>
      <c r="D30" s="707" t="s">
        <v>513</v>
      </c>
      <c r="E30" s="759">
        <v>39.24</v>
      </c>
      <c r="F30" s="802"/>
      <c r="G30" s="712">
        <f>SUM(E30*F30)</f>
        <v>0</v>
      </c>
    </row>
    <row r="31" spans="1:7" s="681" customFormat="1" ht="18.75">
      <c r="A31" s="717"/>
      <c r="B31" s="711" t="s">
        <v>727</v>
      </c>
      <c r="C31" s="1472"/>
      <c r="D31" s="707" t="s">
        <v>513</v>
      </c>
      <c r="E31" s="759">
        <v>42</v>
      </c>
      <c r="F31" s="802"/>
      <c r="G31" s="712">
        <f>SUM(E31*F31)</f>
        <v>0</v>
      </c>
    </row>
    <row r="32" spans="1:7" s="681" customFormat="1" ht="12.75" customHeight="1">
      <c r="A32" s="717"/>
      <c r="B32" s="718"/>
      <c r="C32" s="1473"/>
      <c r="D32" s="707"/>
      <c r="E32" s="759"/>
      <c r="F32" s="712"/>
      <c r="G32" s="712"/>
    </row>
    <row r="33" spans="1:7" s="681" customFormat="1" ht="15.75">
      <c r="A33" s="707" t="s">
        <v>65</v>
      </c>
      <c r="B33" s="761" t="s">
        <v>1143</v>
      </c>
      <c r="C33" s="1231" t="s">
        <v>937</v>
      </c>
      <c r="D33" s="707"/>
      <c r="E33" s="759"/>
      <c r="F33" s="712"/>
      <c r="G33" s="712"/>
    </row>
    <row r="34" spans="1:7" s="681" customFormat="1" ht="18.75">
      <c r="A34" s="713"/>
      <c r="B34" s="711" t="s">
        <v>725</v>
      </c>
      <c r="C34" s="1472"/>
      <c r="D34" s="707" t="s">
        <v>510</v>
      </c>
      <c r="E34" s="759">
        <v>649</v>
      </c>
      <c r="F34" s="802"/>
      <c r="G34" s="712">
        <f>SUM(E34*F34)</f>
        <v>0</v>
      </c>
    </row>
    <row r="35" spans="1:7" s="681" customFormat="1" ht="18.75">
      <c r="A35" s="713"/>
      <c r="B35" s="711" t="s">
        <v>726</v>
      </c>
      <c r="C35" s="1472"/>
      <c r="D35" s="707" t="s">
        <v>510</v>
      </c>
      <c r="E35" s="759">
        <v>144.6</v>
      </c>
      <c r="F35" s="802"/>
      <c r="G35" s="712">
        <f>SUM(E35*F35)</f>
        <v>0</v>
      </c>
    </row>
    <row r="36" spans="1:7" s="681" customFormat="1" ht="18.75">
      <c r="A36" s="713"/>
      <c r="B36" s="711" t="s">
        <v>727</v>
      </c>
      <c r="C36" s="1472"/>
      <c r="D36" s="707" t="s">
        <v>510</v>
      </c>
      <c r="E36" s="759">
        <v>97.8</v>
      </c>
      <c r="F36" s="802"/>
      <c r="G36" s="712">
        <f>SUM(E36*F36)</f>
        <v>0</v>
      </c>
    </row>
    <row r="37" spans="1:7" s="681" customFormat="1" ht="12.75" customHeight="1">
      <c r="A37" s="713"/>
      <c r="B37" s="714"/>
      <c r="C37" s="1459"/>
      <c r="D37" s="716"/>
      <c r="E37" s="715"/>
      <c r="F37" s="710"/>
      <c r="G37" s="710"/>
    </row>
    <row r="38" spans="1:7" s="681" customFormat="1" ht="19.5" customHeight="1">
      <c r="A38" s="707" t="s">
        <v>368</v>
      </c>
      <c r="B38" s="760" t="s">
        <v>731</v>
      </c>
      <c r="C38" s="1231" t="s">
        <v>937</v>
      </c>
      <c r="D38" s="716"/>
      <c r="E38" s="715"/>
      <c r="F38" s="710"/>
      <c r="G38" s="710"/>
    </row>
    <row r="39" spans="1:7" s="681" customFormat="1" ht="18.75">
      <c r="A39" s="713"/>
      <c r="B39" s="711" t="s">
        <v>725</v>
      </c>
      <c r="C39" s="1472"/>
      <c r="D39" s="707" t="s">
        <v>513</v>
      </c>
      <c r="E39" s="759">
        <v>64.900000000000006</v>
      </c>
      <c r="F39" s="802"/>
      <c r="G39" s="712">
        <f>SUM(E39*F39)</f>
        <v>0</v>
      </c>
    </row>
    <row r="40" spans="1:7" s="681" customFormat="1" ht="18.75">
      <c r="A40" s="713"/>
      <c r="B40" s="711" t="s">
        <v>726</v>
      </c>
      <c r="C40" s="1472"/>
      <c r="D40" s="707" t="s">
        <v>513</v>
      </c>
      <c r="E40" s="759">
        <v>14.46</v>
      </c>
      <c r="F40" s="802"/>
      <c r="G40" s="712">
        <f>SUM(E40*F40)</f>
        <v>0</v>
      </c>
    </row>
    <row r="41" spans="1:7" s="681" customFormat="1" ht="18.75">
      <c r="A41" s="713"/>
      <c r="B41" s="711" t="s">
        <v>727</v>
      </c>
      <c r="C41" s="1472"/>
      <c r="D41" s="707" t="s">
        <v>513</v>
      </c>
      <c r="E41" s="759">
        <v>9.8000000000000007</v>
      </c>
      <c r="F41" s="802"/>
      <c r="G41" s="712">
        <f>SUM(E41*F41)</f>
        <v>0</v>
      </c>
    </row>
    <row r="42" spans="1:7" s="681" customFormat="1" ht="12.75" customHeight="1">
      <c r="A42" s="713"/>
      <c r="B42" s="714"/>
      <c r="C42" s="1459"/>
      <c r="D42" s="716"/>
      <c r="E42" s="715"/>
      <c r="F42" s="710"/>
      <c r="G42" s="710"/>
    </row>
    <row r="43" spans="1:7" s="681" customFormat="1" ht="17.25" customHeight="1">
      <c r="A43" s="707" t="s">
        <v>70</v>
      </c>
      <c r="B43" s="760" t="s">
        <v>732</v>
      </c>
      <c r="C43" s="1231" t="s">
        <v>937</v>
      </c>
      <c r="D43" s="716"/>
      <c r="E43" s="715"/>
      <c r="F43" s="710"/>
      <c r="G43" s="710"/>
    </row>
    <row r="44" spans="1:7" s="681" customFormat="1" ht="18.75">
      <c r="A44" s="713"/>
      <c r="B44" s="711" t="s">
        <v>725</v>
      </c>
      <c r="C44" s="1472"/>
      <c r="D44" s="707" t="s">
        <v>513</v>
      </c>
      <c r="E44" s="759">
        <v>776.9</v>
      </c>
      <c r="F44" s="802"/>
      <c r="G44" s="712">
        <f>SUM(E44*F44)</f>
        <v>0</v>
      </c>
    </row>
    <row r="45" spans="1:7" s="681" customFormat="1" ht="18.75">
      <c r="A45" s="713"/>
      <c r="B45" s="711" t="s">
        <v>726</v>
      </c>
      <c r="C45" s="1472"/>
      <c r="D45" s="707" t="s">
        <v>513</v>
      </c>
      <c r="E45" s="759">
        <v>210.79</v>
      </c>
      <c r="F45" s="802"/>
      <c r="G45" s="712">
        <f>SUM(E45*F45)</f>
        <v>0</v>
      </c>
    </row>
    <row r="46" spans="1:7" s="681" customFormat="1" ht="18.75">
      <c r="A46" s="713"/>
      <c r="B46" s="711" t="s">
        <v>727</v>
      </c>
      <c r="C46" s="1472"/>
      <c r="D46" s="707" t="s">
        <v>513</v>
      </c>
      <c r="E46" s="759">
        <v>165</v>
      </c>
      <c r="F46" s="802"/>
      <c r="G46" s="712">
        <f>SUM(E46*F46)</f>
        <v>0</v>
      </c>
    </row>
    <row r="47" spans="1:7" s="681" customFormat="1" ht="12.75" customHeight="1">
      <c r="A47" s="713"/>
      <c r="B47" s="714"/>
      <c r="C47" s="1459"/>
      <c r="D47" s="709"/>
      <c r="E47" s="715"/>
      <c r="F47" s="712"/>
      <c r="G47" s="712"/>
    </row>
    <row r="48" spans="1:7" s="681" customFormat="1" ht="18.75" customHeight="1">
      <c r="A48" s="707" t="s">
        <v>73</v>
      </c>
      <c r="B48" s="760" t="s">
        <v>733</v>
      </c>
      <c r="C48" s="1231" t="s">
        <v>937</v>
      </c>
      <c r="D48" s="716"/>
      <c r="E48" s="709"/>
      <c r="F48" s="712"/>
      <c r="G48" s="712"/>
    </row>
    <row r="49" spans="1:7" s="681" customFormat="1" ht="18.75">
      <c r="A49" s="717"/>
      <c r="B49" s="711" t="s">
        <v>725</v>
      </c>
      <c r="C49" s="1472"/>
      <c r="D49" s="707" t="s">
        <v>513</v>
      </c>
      <c r="E49" s="759">
        <v>50</v>
      </c>
      <c r="F49" s="802"/>
      <c r="G49" s="712">
        <f>SUM(E49*F49)</f>
        <v>0</v>
      </c>
    </row>
    <row r="50" spans="1:7" s="681" customFormat="1" ht="18.75">
      <c r="A50" s="717"/>
      <c r="B50" s="711" t="s">
        <v>726</v>
      </c>
      <c r="C50" s="1472"/>
      <c r="D50" s="707" t="s">
        <v>513</v>
      </c>
      <c r="E50" s="759">
        <v>20</v>
      </c>
      <c r="F50" s="802"/>
      <c r="G50" s="712">
        <f>SUM(E50*F50)</f>
        <v>0</v>
      </c>
    </row>
    <row r="51" spans="1:7" s="681" customFormat="1" ht="18.75">
      <c r="A51" s="717"/>
      <c r="B51" s="711" t="s">
        <v>727</v>
      </c>
      <c r="C51" s="1472"/>
      <c r="D51" s="707" t="s">
        <v>513</v>
      </c>
      <c r="E51" s="759">
        <v>20</v>
      </c>
      <c r="F51" s="802"/>
      <c r="G51" s="712">
        <f>SUM(E51*F51)</f>
        <v>0</v>
      </c>
    </row>
    <row r="52" spans="1:7" s="681" customFormat="1" ht="12.75" customHeight="1">
      <c r="A52" s="717"/>
      <c r="B52" s="711"/>
      <c r="C52" s="1472"/>
      <c r="D52" s="709"/>
      <c r="E52" s="759"/>
      <c r="F52" s="712"/>
      <c r="G52" s="712"/>
    </row>
    <row r="53" spans="1:7" s="681" customFormat="1" ht="29.25" customHeight="1">
      <c r="A53" s="707" t="s">
        <v>22</v>
      </c>
      <c r="B53" s="760" t="s">
        <v>734</v>
      </c>
      <c r="C53" s="1231" t="s">
        <v>937</v>
      </c>
      <c r="D53" s="709"/>
      <c r="E53" s="759"/>
      <c r="F53" s="712"/>
      <c r="G53" s="712"/>
    </row>
    <row r="54" spans="1:7" s="681" customFormat="1" ht="18.75">
      <c r="A54" s="717"/>
      <c r="B54" s="711" t="s">
        <v>725</v>
      </c>
      <c r="C54" s="1472"/>
      <c r="D54" s="707" t="s">
        <v>513</v>
      </c>
      <c r="E54" s="759">
        <v>132</v>
      </c>
      <c r="F54" s="802"/>
      <c r="G54" s="712">
        <f>SUM(E54*F54)</f>
        <v>0</v>
      </c>
    </row>
    <row r="55" spans="1:7" s="681" customFormat="1" ht="12.75" customHeight="1">
      <c r="A55" s="717"/>
      <c r="B55" s="711"/>
      <c r="C55" s="1472"/>
      <c r="D55" s="709"/>
      <c r="E55" s="759"/>
      <c r="F55" s="712"/>
      <c r="G55" s="712"/>
    </row>
    <row r="56" spans="1:7" s="681" customFormat="1" ht="31.5" customHeight="1">
      <c r="A56" s="707" t="s">
        <v>23</v>
      </c>
      <c r="B56" s="760" t="s">
        <v>735</v>
      </c>
      <c r="C56" s="1231" t="s">
        <v>937</v>
      </c>
      <c r="D56" s="709"/>
      <c r="E56" s="759"/>
      <c r="F56" s="712"/>
      <c r="G56" s="712"/>
    </row>
    <row r="57" spans="1:7" s="681" customFormat="1" ht="18" customHeight="1">
      <c r="A57" s="717"/>
      <c r="B57" s="760"/>
      <c r="C57" s="1472"/>
      <c r="D57" s="707" t="s">
        <v>513</v>
      </c>
      <c r="E57" s="759">
        <v>150</v>
      </c>
      <c r="F57" s="802"/>
      <c r="G57" s="712">
        <f>SUM(E57*F57)</f>
        <v>0</v>
      </c>
    </row>
    <row r="58" spans="1:7" s="681" customFormat="1" ht="47.25">
      <c r="A58" s="707" t="s">
        <v>77</v>
      </c>
      <c r="B58" s="760" t="s">
        <v>736</v>
      </c>
      <c r="C58" s="1231" t="s">
        <v>937</v>
      </c>
      <c r="D58" s="709"/>
      <c r="E58" s="759"/>
      <c r="F58" s="712"/>
      <c r="G58" s="712"/>
    </row>
    <row r="59" spans="1:7" s="681" customFormat="1" ht="18" customHeight="1">
      <c r="A59" s="717"/>
      <c r="B59" s="711" t="s">
        <v>725</v>
      </c>
      <c r="C59" s="1472"/>
      <c r="D59" s="707" t="s">
        <v>513</v>
      </c>
      <c r="E59" s="759">
        <v>827.3</v>
      </c>
      <c r="F59" s="802"/>
      <c r="G59" s="712">
        <f>SUM(E59*F59)</f>
        <v>0</v>
      </c>
    </row>
    <row r="60" spans="1:7" s="681" customFormat="1" ht="18.75">
      <c r="A60" s="713"/>
      <c r="B60" s="711" t="s">
        <v>726</v>
      </c>
      <c r="C60" s="1472"/>
      <c r="D60" s="707" t="s">
        <v>513</v>
      </c>
      <c r="E60" s="759">
        <v>248.8</v>
      </c>
      <c r="F60" s="802"/>
      <c r="G60" s="712">
        <f>SUM(E60*F60)</f>
        <v>0</v>
      </c>
    </row>
    <row r="61" spans="1:7" s="681" customFormat="1" ht="18.75">
      <c r="A61" s="713"/>
      <c r="B61" s="711" t="s">
        <v>727</v>
      </c>
      <c r="C61" s="1472"/>
      <c r="D61" s="707" t="s">
        <v>513</v>
      </c>
      <c r="E61" s="759">
        <v>165</v>
      </c>
      <c r="F61" s="802"/>
      <c r="G61" s="712">
        <f>SUM(E61*F61)</f>
        <v>0</v>
      </c>
    </row>
    <row r="62" spans="1:7" s="681" customFormat="1" ht="15.75">
      <c r="A62" s="628"/>
      <c r="B62" s="635" t="s">
        <v>924</v>
      </c>
      <c r="C62" s="1236"/>
      <c r="D62" s="630"/>
      <c r="E62" s="628"/>
      <c r="F62" s="631"/>
      <c r="G62" s="632">
        <f>SUM(G23:G61)</f>
        <v>0</v>
      </c>
    </row>
    <row r="63" spans="1:7" s="681" customFormat="1" ht="12.75" customHeight="1">
      <c r="A63" s="692"/>
      <c r="B63" s="691"/>
      <c r="C63" s="691"/>
      <c r="D63" s="672"/>
      <c r="E63" s="671"/>
      <c r="F63" s="673"/>
      <c r="G63" s="693"/>
    </row>
    <row r="64" spans="1:7" s="681" customFormat="1" ht="15.75">
      <c r="A64" s="706"/>
      <c r="B64" s="1535" t="s">
        <v>1095</v>
      </c>
      <c r="C64" s="1516"/>
      <c r="D64" s="1516"/>
      <c r="E64" s="1516"/>
      <c r="F64" s="1516"/>
      <c r="G64" s="1538"/>
    </row>
    <row r="65" spans="1:7" s="681" customFormat="1" ht="12.75" customHeight="1">
      <c r="A65" s="692"/>
      <c r="B65" s="690"/>
      <c r="C65" s="1471"/>
      <c r="D65" s="672"/>
      <c r="E65" s="671"/>
      <c r="F65" s="673"/>
      <c r="G65" s="673"/>
    </row>
    <row r="66" spans="1:7" s="681" customFormat="1" ht="16.5" customHeight="1">
      <c r="A66" s="707" t="s">
        <v>60</v>
      </c>
      <c r="B66" s="760" t="s">
        <v>737</v>
      </c>
      <c r="C66" s="1231" t="s">
        <v>938</v>
      </c>
      <c r="D66" s="716"/>
      <c r="E66" s="715"/>
      <c r="F66" s="710"/>
      <c r="G66" s="710"/>
    </row>
    <row r="67" spans="1:7" s="681" customFormat="1" ht="18.75">
      <c r="A67" s="717"/>
      <c r="B67" s="711" t="s">
        <v>725</v>
      </c>
      <c r="C67" s="1231"/>
      <c r="D67" s="707" t="s">
        <v>510</v>
      </c>
      <c r="E67" s="759">
        <v>1979.96</v>
      </c>
      <c r="F67" s="802"/>
      <c r="G67" s="712">
        <f>SUM(E67*F67)</f>
        <v>0</v>
      </c>
    </row>
    <row r="68" spans="1:7" s="681" customFormat="1" ht="18.75">
      <c r="A68" s="717"/>
      <c r="B68" s="711" t="s">
        <v>726</v>
      </c>
      <c r="C68" s="1231"/>
      <c r="D68" s="707" t="s">
        <v>510</v>
      </c>
      <c r="E68" s="759">
        <v>444.22</v>
      </c>
      <c r="F68" s="802"/>
      <c r="G68" s="712">
        <f>SUM(E68*F68)</f>
        <v>0</v>
      </c>
    </row>
    <row r="69" spans="1:7" s="681" customFormat="1" ht="18.75">
      <c r="A69" s="717"/>
      <c r="B69" s="711" t="s">
        <v>727</v>
      </c>
      <c r="C69" s="711"/>
      <c r="D69" s="707" t="s">
        <v>510</v>
      </c>
      <c r="E69" s="759">
        <v>472.7</v>
      </c>
      <c r="F69" s="802"/>
      <c r="G69" s="712">
        <f>SUM(E69*F69)</f>
        <v>0</v>
      </c>
    </row>
    <row r="70" spans="1:7" s="681" customFormat="1" ht="14.25" customHeight="1">
      <c r="A70" s="628"/>
      <c r="B70" s="635" t="s">
        <v>778</v>
      </c>
      <c r="C70" s="635"/>
      <c r="D70" s="630"/>
      <c r="E70" s="628"/>
      <c r="F70" s="631"/>
      <c r="G70" s="632">
        <f>SUM(G66:G69)</f>
        <v>0</v>
      </c>
    </row>
    <row r="71" spans="1:7" s="681" customFormat="1" ht="12.75" customHeight="1">
      <c r="A71" s="689"/>
      <c r="B71" s="690"/>
      <c r="C71" s="690"/>
      <c r="D71" s="672"/>
      <c r="E71" s="671"/>
      <c r="F71" s="673"/>
      <c r="G71" s="673"/>
    </row>
    <row r="72" spans="1:7" ht="15.75">
      <c r="A72" s="706"/>
      <c r="B72" s="1535" t="s">
        <v>1096</v>
      </c>
      <c r="C72" s="1516"/>
      <c r="D72" s="1516"/>
      <c r="E72" s="1516"/>
      <c r="F72" s="1516"/>
      <c r="G72" s="1538"/>
    </row>
    <row r="73" spans="1:7">
      <c r="A73" s="694"/>
      <c r="B73" s="698"/>
      <c r="C73" s="1469"/>
      <c r="D73" s="696"/>
      <c r="E73" s="695"/>
      <c r="F73" s="697"/>
      <c r="G73" s="697"/>
    </row>
    <row r="74" spans="1:7" ht="15.75">
      <c r="A74" s="707" t="s">
        <v>60</v>
      </c>
      <c r="B74" s="714" t="s">
        <v>738</v>
      </c>
      <c r="C74" s="1231" t="s">
        <v>939</v>
      </c>
      <c r="D74" s="720"/>
      <c r="E74" s="719"/>
      <c r="F74" s="721"/>
      <c r="G74" s="721"/>
    </row>
    <row r="75" spans="1:7" ht="47.25">
      <c r="A75" s="707"/>
      <c r="B75" s="714" t="s">
        <v>739</v>
      </c>
      <c r="C75" s="1231"/>
      <c r="D75" s="720"/>
      <c r="E75" s="719"/>
      <c r="F75" s="721"/>
      <c r="G75" s="721"/>
    </row>
    <row r="76" spans="1:7" ht="15.75">
      <c r="A76" s="707"/>
      <c r="B76" s="714" t="s">
        <v>740</v>
      </c>
      <c r="C76" s="1231"/>
      <c r="D76" s="709" t="s">
        <v>176</v>
      </c>
      <c r="E76" s="759">
        <v>106.3</v>
      </c>
      <c r="F76" s="802"/>
      <c r="G76" s="712">
        <f t="shared" ref="G76:G81" si="0">SUM(E76*F76)</f>
        <v>0</v>
      </c>
    </row>
    <row r="77" spans="1:7" ht="15.75">
      <c r="A77" s="722"/>
      <c r="B77" s="714" t="s">
        <v>741</v>
      </c>
      <c r="C77" s="1231"/>
      <c r="D77" s="709" t="s">
        <v>176</v>
      </c>
      <c r="E77" s="759">
        <v>188.6</v>
      </c>
      <c r="F77" s="802"/>
      <c r="G77" s="712">
        <f t="shared" si="0"/>
        <v>0</v>
      </c>
    </row>
    <row r="78" spans="1:7" ht="15.75">
      <c r="A78" s="722"/>
      <c r="B78" s="714" t="s">
        <v>742</v>
      </c>
      <c r="C78" s="1231"/>
      <c r="D78" s="709" t="s">
        <v>176</v>
      </c>
      <c r="E78" s="759">
        <v>157.69999999999999</v>
      </c>
      <c r="F78" s="802"/>
      <c r="G78" s="712">
        <f t="shared" si="0"/>
        <v>0</v>
      </c>
    </row>
    <row r="79" spans="1:7" ht="15.75">
      <c r="A79" s="722"/>
      <c r="B79" s="714" t="s">
        <v>743</v>
      </c>
      <c r="C79" s="1231"/>
      <c r="D79" s="709" t="s">
        <v>176</v>
      </c>
      <c r="E79" s="759">
        <v>123</v>
      </c>
      <c r="F79" s="802"/>
      <c r="G79" s="712">
        <f t="shared" si="0"/>
        <v>0</v>
      </c>
    </row>
    <row r="80" spans="1:7" ht="15.75">
      <c r="A80" s="722"/>
      <c r="B80" s="714" t="s">
        <v>744</v>
      </c>
      <c r="C80" s="1231"/>
      <c r="D80" s="709" t="s">
        <v>176</v>
      </c>
      <c r="E80" s="759">
        <v>33.700000000000003</v>
      </c>
      <c r="F80" s="802"/>
      <c r="G80" s="712">
        <f t="shared" si="0"/>
        <v>0</v>
      </c>
    </row>
    <row r="81" spans="1:7" ht="15.75">
      <c r="A81" s="722"/>
      <c r="B81" s="714" t="s">
        <v>745</v>
      </c>
      <c r="C81" s="1231"/>
      <c r="D81" s="709" t="s">
        <v>176</v>
      </c>
      <c r="E81" s="759">
        <v>106.1</v>
      </c>
      <c r="F81" s="802"/>
      <c r="G81" s="712">
        <f t="shared" si="0"/>
        <v>0</v>
      </c>
    </row>
    <row r="82" spans="1:7" ht="15.75">
      <c r="A82" s="722"/>
      <c r="B82" s="723"/>
      <c r="C82" s="1231"/>
      <c r="D82" s="725"/>
      <c r="E82" s="724"/>
      <c r="F82" s="726"/>
      <c r="G82" s="726"/>
    </row>
    <row r="83" spans="1:7" ht="15.75">
      <c r="A83" s="707" t="s">
        <v>63</v>
      </c>
      <c r="B83" s="714" t="s">
        <v>746</v>
      </c>
      <c r="C83" s="1231" t="s">
        <v>939</v>
      </c>
      <c r="D83" s="716"/>
      <c r="E83" s="715"/>
      <c r="F83" s="710"/>
      <c r="G83" s="710"/>
    </row>
    <row r="84" spans="1:7" ht="47.25">
      <c r="A84" s="707"/>
      <c r="B84" s="714" t="s">
        <v>747</v>
      </c>
      <c r="C84" s="1231"/>
      <c r="D84" s="716"/>
      <c r="E84" s="715"/>
      <c r="F84" s="710"/>
      <c r="G84" s="710"/>
    </row>
    <row r="85" spans="1:7" ht="15.75">
      <c r="A85" s="707"/>
      <c r="B85" s="714" t="s">
        <v>740</v>
      </c>
      <c r="C85" s="1231"/>
      <c r="D85" s="709" t="s">
        <v>11</v>
      </c>
      <c r="E85" s="759">
        <v>14</v>
      </c>
      <c r="F85" s="802"/>
      <c r="G85" s="712">
        <f t="shared" ref="G85:G90" si="1">SUM(E85*F85)</f>
        <v>0</v>
      </c>
    </row>
    <row r="86" spans="1:7" ht="15.75">
      <c r="A86" s="707"/>
      <c r="B86" s="714" t="s">
        <v>741</v>
      </c>
      <c r="C86" s="1231"/>
      <c r="D86" s="709" t="s">
        <v>11</v>
      </c>
      <c r="E86" s="759">
        <v>40</v>
      </c>
      <c r="F86" s="802"/>
      <c r="G86" s="712">
        <f t="shared" si="1"/>
        <v>0</v>
      </c>
    </row>
    <row r="87" spans="1:7" ht="15.75">
      <c r="A87" s="717"/>
      <c r="B87" s="714" t="s">
        <v>742</v>
      </c>
      <c r="C87" s="1231"/>
      <c r="D87" s="709" t="s">
        <v>11</v>
      </c>
      <c r="E87" s="759">
        <v>20</v>
      </c>
      <c r="F87" s="802"/>
      <c r="G87" s="712">
        <f t="shared" si="1"/>
        <v>0</v>
      </c>
    </row>
    <row r="88" spans="1:7" ht="15.75">
      <c r="A88" s="717"/>
      <c r="B88" s="714" t="s">
        <v>743</v>
      </c>
      <c r="C88" s="1231"/>
      <c r="D88" s="709" t="s">
        <v>11</v>
      </c>
      <c r="E88" s="759">
        <v>20</v>
      </c>
      <c r="F88" s="802"/>
      <c r="G88" s="712">
        <f t="shared" si="1"/>
        <v>0</v>
      </c>
    </row>
    <row r="89" spans="1:7" ht="15.75">
      <c r="A89" s="717"/>
      <c r="B89" s="714" t="s">
        <v>744</v>
      </c>
      <c r="C89" s="1231"/>
      <c r="D89" s="709" t="s">
        <v>11</v>
      </c>
      <c r="E89" s="759">
        <v>14</v>
      </c>
      <c r="F89" s="802"/>
      <c r="G89" s="712">
        <f t="shared" si="1"/>
        <v>0</v>
      </c>
    </row>
    <row r="90" spans="1:7" ht="15.75">
      <c r="A90" s="717"/>
      <c r="B90" s="714" t="s">
        <v>745</v>
      </c>
      <c r="C90" s="1231"/>
      <c r="D90" s="709" t="s">
        <v>11</v>
      </c>
      <c r="E90" s="759">
        <v>32</v>
      </c>
      <c r="F90" s="802"/>
      <c r="G90" s="712">
        <f t="shared" si="1"/>
        <v>0</v>
      </c>
    </row>
    <row r="91" spans="1:7" ht="15.75">
      <c r="A91" s="717"/>
      <c r="B91" s="714"/>
      <c r="C91" s="1231"/>
      <c r="D91" s="708"/>
      <c r="E91" s="709"/>
      <c r="F91" s="712"/>
      <c r="G91" s="712"/>
    </row>
    <row r="92" spans="1:7" ht="15.75">
      <c r="A92" s="707" t="s">
        <v>65</v>
      </c>
      <c r="B92" s="727" t="s">
        <v>748</v>
      </c>
      <c r="C92" s="1231" t="s">
        <v>939</v>
      </c>
      <c r="D92" s="709"/>
      <c r="E92" s="774"/>
      <c r="F92" s="712"/>
      <c r="G92" s="712"/>
    </row>
    <row r="93" spans="1:7" ht="15.75">
      <c r="A93" s="707"/>
      <c r="B93" s="727" t="s">
        <v>749</v>
      </c>
      <c r="C93" s="1231"/>
      <c r="D93" s="709" t="s">
        <v>11</v>
      </c>
      <c r="E93" s="774">
        <v>24</v>
      </c>
      <c r="F93" s="802"/>
      <c r="G93" s="712">
        <f>SUM(E93*F93)</f>
        <v>0</v>
      </c>
    </row>
    <row r="94" spans="1:7" ht="15.75">
      <c r="A94" s="707"/>
      <c r="B94" s="727" t="s">
        <v>750</v>
      </c>
      <c r="C94" s="1231"/>
      <c r="D94" s="709" t="s">
        <v>11</v>
      </c>
      <c r="E94" s="774">
        <v>3</v>
      </c>
      <c r="F94" s="802"/>
      <c r="G94" s="712">
        <f>SUM(E94*F94)</f>
        <v>0</v>
      </c>
    </row>
    <row r="95" spans="1:7" ht="15.75">
      <c r="A95" s="707"/>
      <c r="B95" s="728"/>
      <c r="C95" s="1470"/>
      <c r="D95" s="709"/>
      <c r="E95" s="774"/>
      <c r="F95" s="712"/>
      <c r="G95" s="712"/>
    </row>
    <row r="96" spans="1:7" ht="15.75">
      <c r="A96" s="707" t="s">
        <v>368</v>
      </c>
      <c r="B96" s="727" t="s">
        <v>751</v>
      </c>
      <c r="C96" s="1231" t="s">
        <v>939</v>
      </c>
      <c r="D96" s="709" t="s">
        <v>11</v>
      </c>
      <c r="E96" s="774">
        <v>98</v>
      </c>
      <c r="F96" s="802"/>
      <c r="G96" s="712">
        <f>SUM(E96*F96)</f>
        <v>0</v>
      </c>
    </row>
    <row r="97" spans="1:7" ht="15.75">
      <c r="A97" s="707"/>
      <c r="B97" s="728"/>
      <c r="C97" s="1231"/>
      <c r="D97" s="709"/>
      <c r="E97" s="774"/>
      <c r="F97" s="712"/>
      <c r="G97" s="712"/>
    </row>
    <row r="98" spans="1:7" ht="15.75">
      <c r="A98" s="707" t="s">
        <v>70</v>
      </c>
      <c r="B98" s="731" t="s">
        <v>752</v>
      </c>
      <c r="C98" s="1231" t="s">
        <v>939</v>
      </c>
      <c r="D98" s="709" t="s">
        <v>11</v>
      </c>
      <c r="E98" s="774">
        <v>1</v>
      </c>
      <c r="F98" s="802"/>
      <c r="G98" s="712">
        <f>SUM(E98*F98)</f>
        <v>0</v>
      </c>
    </row>
    <row r="99" spans="1:7" ht="15.75">
      <c r="A99" s="707"/>
      <c r="B99" s="729"/>
      <c r="C99" s="1231"/>
      <c r="D99" s="709"/>
      <c r="E99" s="774"/>
      <c r="F99" s="712"/>
      <c r="G99" s="712"/>
    </row>
    <row r="100" spans="1:7" ht="15.75">
      <c r="A100" s="707" t="s">
        <v>73</v>
      </c>
      <c r="B100" s="714" t="s">
        <v>753</v>
      </c>
      <c r="C100" s="1231" t="s">
        <v>939</v>
      </c>
      <c r="D100" s="716"/>
      <c r="E100" s="715"/>
      <c r="F100" s="710"/>
      <c r="G100" s="710"/>
    </row>
    <row r="101" spans="1:7" ht="15.75">
      <c r="A101" s="707"/>
      <c r="B101" s="714" t="s">
        <v>754</v>
      </c>
      <c r="C101" s="1231"/>
      <c r="D101" s="709" t="s">
        <v>176</v>
      </c>
      <c r="E101" s="759">
        <v>48</v>
      </c>
      <c r="F101" s="802"/>
      <c r="G101" s="712">
        <f>SUM(E101*F101)</f>
        <v>0</v>
      </c>
    </row>
    <row r="102" spans="1:7" ht="15.75">
      <c r="A102" s="707"/>
      <c r="B102" s="714" t="s">
        <v>755</v>
      </c>
      <c r="C102" s="1459"/>
      <c r="D102" s="709" t="s">
        <v>176</v>
      </c>
      <c r="E102" s="759">
        <v>153</v>
      </c>
      <c r="F102" s="802"/>
      <c r="G102" s="712">
        <f>SUM(E102*F102)</f>
        <v>0</v>
      </c>
    </row>
    <row r="103" spans="1:7" ht="15.75" customHeight="1">
      <c r="A103" s="628"/>
      <c r="B103" s="635" t="s">
        <v>756</v>
      </c>
      <c r="C103" s="635"/>
      <c r="D103" s="630"/>
      <c r="E103" s="628"/>
      <c r="F103" s="631"/>
      <c r="G103" s="632">
        <f>SUM(G74:G102)</f>
        <v>0</v>
      </c>
    </row>
    <row r="104" spans="1:7">
      <c r="A104" s="694"/>
      <c r="B104" s="690"/>
      <c r="C104" s="690"/>
      <c r="D104" s="700"/>
      <c r="E104" s="699"/>
      <c r="F104" s="701"/>
      <c r="G104" s="701"/>
    </row>
    <row r="105" spans="1:7" ht="15.75">
      <c r="A105" s="706"/>
      <c r="B105" s="1535" t="s">
        <v>1097</v>
      </c>
      <c r="C105" s="1516"/>
      <c r="D105" s="1516"/>
      <c r="E105" s="1516"/>
      <c r="F105" s="1516"/>
      <c r="G105" s="1538"/>
    </row>
    <row r="106" spans="1:7" ht="15">
      <c r="A106" s="692"/>
      <c r="B106" s="690"/>
      <c r="C106" s="690"/>
      <c r="D106" s="686"/>
      <c r="E106" s="687"/>
      <c r="F106" s="688"/>
      <c r="G106" s="688"/>
    </row>
    <row r="107" spans="1:7" ht="18.75">
      <c r="A107" s="707" t="s">
        <v>60</v>
      </c>
      <c r="B107" s="730" t="s">
        <v>757</v>
      </c>
      <c r="C107" s="1231" t="s">
        <v>940</v>
      </c>
      <c r="D107" s="707" t="s">
        <v>513</v>
      </c>
      <c r="E107" s="709" t="s">
        <v>758</v>
      </c>
      <c r="F107" s="802"/>
      <c r="G107" s="712">
        <f t="shared" ref="G107:G113" si="2">SUM(E107*F107)</f>
        <v>0</v>
      </c>
    </row>
    <row r="108" spans="1:7" ht="36.75" customHeight="1">
      <c r="A108" s="707" t="s">
        <v>63</v>
      </c>
      <c r="B108" s="730" t="s">
        <v>759</v>
      </c>
      <c r="C108" s="1231" t="s">
        <v>940</v>
      </c>
      <c r="D108" s="709" t="s">
        <v>11</v>
      </c>
      <c r="E108" s="709" t="s">
        <v>760</v>
      </c>
      <c r="F108" s="802"/>
      <c r="G108" s="712">
        <f t="shared" si="2"/>
        <v>0</v>
      </c>
    </row>
    <row r="109" spans="1:7" ht="15.75">
      <c r="A109" s="707" t="s">
        <v>65</v>
      </c>
      <c r="B109" s="730" t="s">
        <v>761</v>
      </c>
      <c r="C109" s="1231" t="s">
        <v>940</v>
      </c>
      <c r="D109" s="709" t="s">
        <v>11</v>
      </c>
      <c r="E109" s="709" t="s">
        <v>762</v>
      </c>
      <c r="F109" s="802"/>
      <c r="G109" s="712">
        <f t="shared" si="2"/>
        <v>0</v>
      </c>
    </row>
    <row r="110" spans="1:7" ht="47.25">
      <c r="A110" s="707" t="s">
        <v>368</v>
      </c>
      <c r="B110" s="730" t="s">
        <v>763</v>
      </c>
      <c r="C110" s="1231" t="s">
        <v>940</v>
      </c>
      <c r="D110" s="709" t="s">
        <v>11</v>
      </c>
      <c r="E110" s="709" t="s">
        <v>764</v>
      </c>
      <c r="F110" s="802"/>
      <c r="G110" s="712">
        <f t="shared" si="2"/>
        <v>0</v>
      </c>
    </row>
    <row r="111" spans="1:7" ht="31.5">
      <c r="A111" s="707" t="s">
        <v>70</v>
      </c>
      <c r="B111" s="714" t="s">
        <v>765</v>
      </c>
      <c r="C111" s="1231" t="s">
        <v>940</v>
      </c>
      <c r="D111" s="709" t="s">
        <v>11</v>
      </c>
      <c r="E111" s="709" t="s">
        <v>766</v>
      </c>
      <c r="F111" s="802"/>
      <c r="G111" s="712">
        <f t="shared" si="2"/>
        <v>0</v>
      </c>
    </row>
    <row r="112" spans="1:7" ht="15.75">
      <c r="A112" s="707" t="s">
        <v>73</v>
      </c>
      <c r="B112" s="730" t="s">
        <v>767</v>
      </c>
      <c r="C112" s="1231" t="s">
        <v>940</v>
      </c>
      <c r="D112" s="709" t="s">
        <v>11</v>
      </c>
      <c r="E112" s="709" t="s">
        <v>768</v>
      </c>
      <c r="F112" s="802"/>
      <c r="G112" s="712">
        <f t="shared" si="2"/>
        <v>0</v>
      </c>
    </row>
    <row r="113" spans="1:7" ht="15.75">
      <c r="A113" s="707" t="s">
        <v>22</v>
      </c>
      <c r="B113" s="727" t="s">
        <v>769</v>
      </c>
      <c r="C113" s="1231" t="s">
        <v>940</v>
      </c>
      <c r="D113" s="709" t="s">
        <v>11</v>
      </c>
      <c r="E113" s="709" t="s">
        <v>52</v>
      </c>
      <c r="F113" s="802"/>
      <c r="G113" s="712">
        <f t="shared" si="2"/>
        <v>0</v>
      </c>
    </row>
    <row r="114" spans="1:7" ht="15.75">
      <c r="A114" s="628"/>
      <c r="B114" s="635" t="s">
        <v>770</v>
      </c>
      <c r="C114" s="635"/>
      <c r="D114" s="630"/>
      <c r="E114" s="628"/>
      <c r="F114" s="631"/>
      <c r="G114" s="632">
        <f>SUM(G107:G113)</f>
        <v>0</v>
      </c>
    </row>
    <row r="115" spans="1:7" ht="15">
      <c r="A115" s="692"/>
      <c r="B115" s="691"/>
      <c r="C115" s="691"/>
      <c r="D115" s="672"/>
      <c r="E115" s="671"/>
      <c r="F115" s="673"/>
      <c r="G115" s="693"/>
    </row>
    <row r="116" spans="1:7" ht="15.75">
      <c r="A116" s="706"/>
      <c r="B116" s="1535" t="s">
        <v>1098</v>
      </c>
      <c r="C116" s="1516"/>
      <c r="D116" s="1516"/>
      <c r="E116" s="1516"/>
      <c r="F116" s="1516"/>
      <c r="G116" s="1538"/>
    </row>
    <row r="117" spans="1:7" ht="15">
      <c r="A117" s="692"/>
      <c r="B117" s="684"/>
      <c r="C117" s="1476"/>
      <c r="D117" s="672"/>
      <c r="E117" s="671"/>
      <c r="F117" s="673"/>
      <c r="G117" s="673"/>
    </row>
    <row r="118" spans="1:7" ht="15.75">
      <c r="A118" s="707" t="s">
        <v>60</v>
      </c>
      <c r="B118" s="728" t="s">
        <v>771</v>
      </c>
      <c r="C118" s="1477"/>
      <c r="D118" s="709" t="s">
        <v>772</v>
      </c>
      <c r="E118" s="774">
        <v>50</v>
      </c>
      <c r="F118" s="802"/>
      <c r="G118" s="712">
        <f>SUM(E118*F118)</f>
        <v>0</v>
      </c>
    </row>
    <row r="119" spans="1:7" ht="32.25" customHeight="1">
      <c r="A119" s="707" t="s">
        <v>63</v>
      </c>
      <c r="B119" s="714" t="s">
        <v>773</v>
      </c>
      <c r="C119" s="1231" t="s">
        <v>941</v>
      </c>
      <c r="D119" s="709" t="s">
        <v>176</v>
      </c>
      <c r="E119" s="759">
        <v>632.9</v>
      </c>
      <c r="F119" s="802"/>
      <c r="G119" s="712">
        <f>SUM(E119*F119)</f>
        <v>0</v>
      </c>
    </row>
    <row r="120" spans="1:7" ht="15.75">
      <c r="A120" s="707" t="s">
        <v>65</v>
      </c>
      <c r="B120" s="714" t="s">
        <v>774</v>
      </c>
      <c r="C120" s="1231" t="s">
        <v>941</v>
      </c>
      <c r="D120" s="774" t="s">
        <v>898</v>
      </c>
      <c r="E120" s="774">
        <v>1</v>
      </c>
      <c r="F120" s="802"/>
      <c r="G120" s="712">
        <f>SUM(E120*F120)</f>
        <v>0</v>
      </c>
    </row>
    <row r="121" spans="1:7" ht="15.75">
      <c r="A121" s="707" t="s">
        <v>368</v>
      </c>
      <c r="B121" s="760" t="s">
        <v>775</v>
      </c>
      <c r="C121" s="1231"/>
      <c r="D121" s="709" t="s">
        <v>176</v>
      </c>
      <c r="E121" s="759">
        <v>714.4</v>
      </c>
      <c r="F121" s="802"/>
      <c r="G121" s="712">
        <f>SUM(E121*F121)</f>
        <v>0</v>
      </c>
    </row>
    <row r="122" spans="1:7" ht="15.75">
      <c r="A122" s="707" t="s">
        <v>70</v>
      </c>
      <c r="B122" s="760" t="s">
        <v>776</v>
      </c>
      <c r="C122" s="1231" t="s">
        <v>941</v>
      </c>
      <c r="D122" s="774" t="s">
        <v>898</v>
      </c>
      <c r="E122" s="774">
        <v>1</v>
      </c>
      <c r="F122" s="802"/>
      <c r="G122" s="712">
        <f>SUM(E122*F122)</f>
        <v>0</v>
      </c>
    </row>
    <row r="123" spans="1:7" ht="15.75">
      <c r="A123" s="628"/>
      <c r="B123" s="635" t="s">
        <v>777</v>
      </c>
      <c r="C123" s="635"/>
      <c r="D123" s="630"/>
      <c r="E123" s="628"/>
      <c r="F123" s="631"/>
      <c r="G123" s="632">
        <f>SUM(G117:G122)</f>
        <v>0</v>
      </c>
    </row>
    <row r="124" spans="1:7" ht="15">
      <c r="A124" s="677"/>
      <c r="B124" s="685"/>
      <c r="C124" s="685"/>
      <c r="D124" s="672"/>
      <c r="E124" s="671"/>
      <c r="F124" s="673"/>
      <c r="G124" s="693"/>
    </row>
    <row r="125" spans="1:7" ht="15.75">
      <c r="A125" s="1137"/>
      <c r="B125" s="1539" t="s">
        <v>1039</v>
      </c>
      <c r="C125" s="1539"/>
      <c r="D125" s="1539"/>
      <c r="E125" s="1539"/>
      <c r="F125" s="1539"/>
      <c r="G125" s="1138"/>
    </row>
    <row r="126" spans="1:7" ht="15.75">
      <c r="A126" s="734" t="s">
        <v>247</v>
      </c>
      <c r="B126" s="133" t="s">
        <v>675</v>
      </c>
      <c r="C126" s="133"/>
      <c r="D126" s="672"/>
      <c r="E126" s="671"/>
      <c r="F126" s="673"/>
      <c r="G126" s="294">
        <f>SUM(G19)</f>
        <v>0</v>
      </c>
    </row>
    <row r="127" spans="1:7" ht="15.75">
      <c r="A127" s="734" t="s">
        <v>249</v>
      </c>
      <c r="B127" s="133" t="s">
        <v>779</v>
      </c>
      <c r="C127" s="133"/>
      <c r="D127" s="672"/>
      <c r="E127" s="671"/>
      <c r="F127" s="673"/>
      <c r="G127" s="294">
        <f>SUM(G62)</f>
        <v>0</v>
      </c>
    </row>
    <row r="128" spans="1:7" ht="15.75">
      <c r="A128" s="734" t="s">
        <v>251</v>
      </c>
      <c r="B128" s="133" t="s">
        <v>688</v>
      </c>
      <c r="C128" s="133"/>
      <c r="D128" s="672"/>
      <c r="E128" s="671"/>
      <c r="F128" s="673"/>
      <c r="G128" s="294">
        <f>SUM(G70)</f>
        <v>0</v>
      </c>
    </row>
    <row r="129" spans="1:7" ht="15.75">
      <c r="A129" s="734" t="s">
        <v>253</v>
      </c>
      <c r="B129" s="133" t="s">
        <v>780</v>
      </c>
      <c r="C129" s="133"/>
      <c r="D129" s="672"/>
      <c r="E129" s="671"/>
      <c r="F129" s="673"/>
      <c r="G129" s="294">
        <f>SUM(G103)</f>
        <v>0</v>
      </c>
    </row>
    <row r="130" spans="1:7" ht="15.75">
      <c r="A130" s="734" t="s">
        <v>255</v>
      </c>
      <c r="B130" s="133" t="s">
        <v>286</v>
      </c>
      <c r="C130" s="133"/>
      <c r="D130" s="672"/>
      <c r="E130" s="671"/>
      <c r="F130" s="673"/>
      <c r="G130" s="294">
        <f>SUM(G114)</f>
        <v>0</v>
      </c>
    </row>
    <row r="131" spans="1:7" ht="15.75">
      <c r="A131" s="734" t="s">
        <v>257</v>
      </c>
      <c r="B131" s="133" t="s">
        <v>781</v>
      </c>
      <c r="C131" s="133"/>
      <c r="D131" s="672"/>
      <c r="E131" s="671"/>
      <c r="F131" s="673"/>
      <c r="G131" s="294">
        <f>SUM(G123)</f>
        <v>0</v>
      </c>
    </row>
    <row r="132" spans="1:7" s="681" customFormat="1" ht="18" customHeight="1">
      <c r="A132" s="1139"/>
      <c r="B132" s="1140" t="s">
        <v>921</v>
      </c>
      <c r="C132" s="1140"/>
      <c r="D132" s="1140"/>
      <c r="E132" s="1133"/>
      <c r="F132" s="1140"/>
      <c r="G132" s="1141">
        <f>SUM(G126:G131)</f>
        <v>0</v>
      </c>
    </row>
  </sheetData>
  <sheetProtection sheet="1" objects="1" scenarios="1" formatRows="0" selectLockedCells="1"/>
  <mergeCells count="7">
    <mergeCell ref="B21:G21"/>
    <mergeCell ref="B8:G8"/>
    <mergeCell ref="B125:F125"/>
    <mergeCell ref="B116:G116"/>
    <mergeCell ref="B105:G105"/>
    <mergeCell ref="B72:G72"/>
    <mergeCell ref="B64:G64"/>
  </mergeCells>
  <pageMargins left="0.78740157480314965" right="0.39370078740157483" top="0.74803149606299213" bottom="0.62992125984251968" header="0.39370078740157483" footer="0.39370078740157483"/>
  <pageSetup paperSize="9" scale="87" firstPageNumber="43" orientation="portrait" useFirstPageNumber="1" horizontalDpi="300" verticalDpi="300" r:id="rId1"/>
  <headerFooter alignWithMargins="0">
    <oddHeader>&amp;L&amp;"Times New Roman,Standard"Construction of BCP Kotroman&amp;R&amp;"Times New Roman,Standard"&amp;10Bill of Quantities</oddHeader>
    <oddFooter>&amp;R&amp;"Times New Roman,Regular"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8"/>
  <sheetViews>
    <sheetView showZeros="0" view="pageBreakPreview" topLeftCell="A127" zoomScaleNormal="90" zoomScaleSheetLayoutView="100" workbookViewId="0">
      <selection activeCell="F8" sqref="F8"/>
    </sheetView>
  </sheetViews>
  <sheetFormatPr baseColWidth="10" defaultColWidth="11.42578125" defaultRowHeight="15"/>
  <cols>
    <col min="1" max="1" width="6.7109375" customWidth="1"/>
    <col min="2" max="2" width="36.28515625" style="910" customWidth="1"/>
    <col min="3" max="3" width="11.5703125" customWidth="1"/>
    <col min="4" max="4" width="7.42578125" customWidth="1"/>
    <col min="5" max="5" width="11.7109375" customWidth="1"/>
    <col min="6" max="6" width="13.5703125" style="94" customWidth="1"/>
    <col min="7" max="7" width="16.28515625" customWidth="1"/>
  </cols>
  <sheetData>
    <row r="1" spans="1:7" ht="18.75">
      <c r="B1" s="1106" t="s">
        <v>1154</v>
      </c>
    </row>
    <row r="2" spans="1:7" ht="18.75">
      <c r="B2" s="1106" t="s">
        <v>1153</v>
      </c>
    </row>
    <row r="3" spans="1:7" ht="15.75">
      <c r="B3" s="17"/>
    </row>
    <row r="4" spans="1:7" ht="15.75">
      <c r="A4" s="898"/>
      <c r="B4" s="900" t="s">
        <v>1042</v>
      </c>
      <c r="C4" s="1196" t="s">
        <v>1275</v>
      </c>
      <c r="D4" s="897"/>
      <c r="E4" s="898"/>
      <c r="F4" s="898"/>
      <c r="G4" s="899"/>
    </row>
    <row r="5" spans="1:7">
      <c r="A5" s="902"/>
      <c r="B5" s="1107"/>
      <c r="C5" s="903"/>
      <c r="D5" s="903"/>
      <c r="E5" s="903"/>
      <c r="F5" s="1162"/>
      <c r="G5" s="904"/>
    </row>
    <row r="6" spans="1:7" ht="36" customHeight="1">
      <c r="A6" s="766" t="s">
        <v>891</v>
      </c>
      <c r="B6" s="767" t="s">
        <v>892</v>
      </c>
      <c r="C6" s="768" t="s">
        <v>894</v>
      </c>
      <c r="D6" s="768" t="s">
        <v>1</v>
      </c>
      <c r="E6" s="769" t="s">
        <v>893</v>
      </c>
      <c r="F6" s="769" t="s">
        <v>1234</v>
      </c>
      <c r="G6" s="769" t="s">
        <v>1233</v>
      </c>
    </row>
    <row r="7" spans="1:7">
      <c r="A7" s="1113"/>
      <c r="B7" s="1114"/>
      <c r="C7" s="1115"/>
      <c r="D7" s="1115"/>
      <c r="E7" s="1116"/>
      <c r="F7" s="1163"/>
      <c r="G7" s="1116"/>
    </row>
    <row r="8" spans="1:7" ht="15.75">
      <c r="A8" s="25">
        <v>1</v>
      </c>
      <c r="B8" s="1108" t="s">
        <v>1167</v>
      </c>
      <c r="C8" s="888" t="s">
        <v>1265</v>
      </c>
      <c r="D8" s="32" t="s">
        <v>898</v>
      </c>
      <c r="E8" s="33">
        <v>1</v>
      </c>
      <c r="F8" s="805"/>
      <c r="G8" s="34">
        <f>E8*F8</f>
        <v>0</v>
      </c>
    </row>
    <row r="9" spans="1:7" ht="15.75">
      <c r="A9" s="54"/>
      <c r="B9" s="905" t="s">
        <v>1033</v>
      </c>
      <c r="C9" s="55"/>
      <c r="D9" s="56"/>
      <c r="E9" s="57"/>
      <c r="F9" s="57"/>
      <c r="G9" s="59">
        <f>G8</f>
        <v>0</v>
      </c>
    </row>
    <row r="11" spans="1:7" ht="15.75">
      <c r="A11" s="897"/>
      <c r="B11" s="900" t="s">
        <v>1155</v>
      </c>
      <c r="C11" s="1196" t="s">
        <v>1275</v>
      </c>
      <c r="D11" s="897"/>
      <c r="E11" s="898"/>
      <c r="F11" s="898"/>
      <c r="G11" s="899"/>
    </row>
    <row r="12" spans="1:7">
      <c r="A12" s="893"/>
      <c r="B12" s="1109"/>
      <c r="C12" s="894"/>
      <c r="D12" s="894"/>
      <c r="E12" s="894"/>
      <c r="F12" s="1164"/>
      <c r="G12" s="894"/>
    </row>
    <row r="13" spans="1:7" ht="31.5">
      <c r="A13" s="25" t="s">
        <v>60</v>
      </c>
      <c r="B13" s="1108" t="s">
        <v>1050</v>
      </c>
      <c r="C13" s="888" t="s">
        <v>1266</v>
      </c>
      <c r="D13" s="32" t="s">
        <v>176</v>
      </c>
      <c r="E13" s="46">
        <v>420</v>
      </c>
      <c r="F13" s="805"/>
      <c r="G13" s="47">
        <f>+E13*F13</f>
        <v>0</v>
      </c>
    </row>
    <row r="14" spans="1:7" ht="15.75">
      <c r="A14" s="25"/>
      <c r="B14" s="1108"/>
      <c r="C14" s="888"/>
      <c r="D14" s="32"/>
      <c r="E14" s="46"/>
      <c r="F14" s="32"/>
      <c r="G14" s="47"/>
    </row>
    <row r="15" spans="1:7" ht="78.75">
      <c r="A15" s="25" t="s">
        <v>63</v>
      </c>
      <c r="B15" s="1108" t="s">
        <v>1051</v>
      </c>
      <c r="C15" s="888" t="s">
        <v>1266</v>
      </c>
      <c r="D15" s="32" t="s">
        <v>945</v>
      </c>
      <c r="E15" s="46">
        <v>20</v>
      </c>
      <c r="F15" s="805"/>
      <c r="G15" s="47">
        <f t="shared" ref="G15:G39" si="0">+E15*F15</f>
        <v>0</v>
      </c>
    </row>
    <row r="16" spans="1:7" ht="15.75">
      <c r="A16" s="25"/>
      <c r="B16" s="1108"/>
      <c r="C16" s="888"/>
      <c r="D16" s="32"/>
      <c r="F16" s="46"/>
      <c r="G16" s="47"/>
    </row>
    <row r="17" spans="1:7" ht="47.25">
      <c r="A17" s="25" t="s">
        <v>65</v>
      </c>
      <c r="B17" s="1108" t="s">
        <v>946</v>
      </c>
      <c r="C17" s="888"/>
      <c r="D17" s="32" t="s">
        <v>176</v>
      </c>
      <c r="E17" s="46">
        <v>30</v>
      </c>
      <c r="F17" s="805"/>
      <c r="G17" s="47">
        <f t="shared" si="0"/>
        <v>0</v>
      </c>
    </row>
    <row r="18" spans="1:7" ht="31.5">
      <c r="A18" s="25" t="s">
        <v>368</v>
      </c>
      <c r="B18" s="1108" t="s">
        <v>947</v>
      </c>
      <c r="C18" s="888" t="s">
        <v>1266</v>
      </c>
      <c r="D18" s="32" t="s">
        <v>11</v>
      </c>
      <c r="E18" s="46">
        <v>5</v>
      </c>
      <c r="F18" s="805"/>
      <c r="G18" s="47">
        <f t="shared" si="0"/>
        <v>0</v>
      </c>
    </row>
    <row r="19" spans="1:7" ht="31.5">
      <c r="A19" s="25" t="s">
        <v>350</v>
      </c>
      <c r="B19" s="1108" t="s">
        <v>948</v>
      </c>
      <c r="C19" s="888" t="s">
        <v>1266</v>
      </c>
      <c r="D19" s="32" t="s">
        <v>11</v>
      </c>
      <c r="E19" s="46">
        <v>4</v>
      </c>
      <c r="F19" s="805"/>
      <c r="G19" s="47">
        <f t="shared" si="0"/>
        <v>0</v>
      </c>
    </row>
    <row r="20" spans="1:7" ht="20.25" customHeight="1">
      <c r="A20" s="25" t="s">
        <v>552</v>
      </c>
      <c r="B20" s="1110" t="s">
        <v>1156</v>
      </c>
      <c r="C20" s="888" t="s">
        <v>1266</v>
      </c>
      <c r="D20" s="32" t="s">
        <v>176</v>
      </c>
      <c r="E20" s="46">
        <v>420</v>
      </c>
      <c r="F20" s="805"/>
      <c r="G20" s="47">
        <f>+E20*F20</f>
        <v>0</v>
      </c>
    </row>
    <row r="21" spans="1:7" ht="31.5">
      <c r="A21" s="25" t="s">
        <v>697</v>
      </c>
      <c r="B21" s="1108" t="s">
        <v>949</v>
      </c>
      <c r="C21" s="888"/>
      <c r="D21" s="32" t="s">
        <v>945</v>
      </c>
      <c r="E21" s="46">
        <v>120</v>
      </c>
      <c r="F21" s="805"/>
      <c r="G21" s="47">
        <f t="shared" si="0"/>
        <v>0</v>
      </c>
    </row>
    <row r="22" spans="1:7" ht="31.5">
      <c r="A22" s="25" t="s">
        <v>702</v>
      </c>
      <c r="B22" s="1108" t="s">
        <v>950</v>
      </c>
      <c r="C22" s="888" t="s">
        <v>1266</v>
      </c>
      <c r="D22" s="32" t="s">
        <v>176</v>
      </c>
      <c r="E22" s="46">
        <v>1500</v>
      </c>
      <c r="F22" s="805"/>
      <c r="G22" s="47">
        <f t="shared" si="0"/>
        <v>0</v>
      </c>
    </row>
    <row r="23" spans="1:7" ht="31.5">
      <c r="A23" s="25" t="s">
        <v>703</v>
      </c>
      <c r="B23" s="1108" t="s">
        <v>951</v>
      </c>
      <c r="C23" s="888"/>
      <c r="D23" s="32" t="s">
        <v>11</v>
      </c>
      <c r="E23" s="46">
        <v>10</v>
      </c>
      <c r="F23" s="805"/>
      <c r="G23" s="47">
        <f t="shared" si="0"/>
        <v>0</v>
      </c>
    </row>
    <row r="24" spans="1:7" ht="15.75">
      <c r="A24" s="25"/>
      <c r="B24" s="1108"/>
      <c r="C24" s="888"/>
      <c r="D24" s="32"/>
      <c r="E24" s="46"/>
      <c r="F24" s="32"/>
      <c r="G24" s="47"/>
    </row>
    <row r="25" spans="1:7" ht="94.5">
      <c r="A25" s="25" t="s">
        <v>952</v>
      </c>
      <c r="B25" s="1108" t="s">
        <v>953</v>
      </c>
      <c r="C25" s="888"/>
      <c r="D25" s="32"/>
      <c r="E25" s="46"/>
      <c r="F25" s="47"/>
      <c r="G25" s="47">
        <f t="shared" si="0"/>
        <v>0</v>
      </c>
    </row>
    <row r="26" spans="1:7" ht="15.75">
      <c r="A26" s="25"/>
      <c r="B26" s="1108" t="s">
        <v>1030</v>
      </c>
      <c r="C26" s="888"/>
      <c r="D26" s="32" t="s">
        <v>954</v>
      </c>
      <c r="E26" s="46">
        <v>1</v>
      </c>
      <c r="F26" s="805"/>
      <c r="G26" s="47">
        <f t="shared" si="0"/>
        <v>0</v>
      </c>
    </row>
    <row r="27" spans="1:7" ht="15.75">
      <c r="A27" s="25"/>
      <c r="B27" s="1108" t="s">
        <v>1031</v>
      </c>
      <c r="C27" s="888"/>
      <c r="D27" s="32" t="s">
        <v>954</v>
      </c>
      <c r="E27" s="46">
        <v>1</v>
      </c>
      <c r="F27" s="805"/>
      <c r="G27" s="47">
        <f t="shared" si="0"/>
        <v>0</v>
      </c>
    </row>
    <row r="28" spans="1:7" ht="15.75">
      <c r="A28" s="25"/>
      <c r="B28" s="1108"/>
      <c r="C28" s="888"/>
      <c r="D28" s="32"/>
      <c r="E28" s="46"/>
      <c r="F28" s="46"/>
      <c r="G28" s="47"/>
    </row>
    <row r="29" spans="1:7" ht="47.25">
      <c r="A29" s="25" t="s">
        <v>955</v>
      </c>
      <c r="B29" s="1108" t="s">
        <v>956</v>
      </c>
      <c r="C29" s="888"/>
      <c r="D29" s="32" t="s">
        <v>176</v>
      </c>
      <c r="E29" s="46">
        <v>40</v>
      </c>
      <c r="F29" s="805"/>
      <c r="G29" s="47">
        <f t="shared" si="0"/>
        <v>0</v>
      </c>
    </row>
    <row r="30" spans="1:7" ht="15.75">
      <c r="A30" s="25"/>
      <c r="B30" s="1108"/>
      <c r="C30" s="888"/>
      <c r="D30" s="32"/>
      <c r="F30" s="46"/>
      <c r="G30" s="47"/>
    </row>
    <row r="31" spans="1:7" ht="94.5">
      <c r="A31" s="25" t="s">
        <v>957</v>
      </c>
      <c r="B31" s="1108" t="s">
        <v>958</v>
      </c>
      <c r="C31" s="888"/>
      <c r="D31" s="32" t="s">
        <v>11</v>
      </c>
      <c r="E31" s="46">
        <v>2</v>
      </c>
      <c r="F31" s="805"/>
      <c r="G31" s="47">
        <f t="shared" si="0"/>
        <v>0</v>
      </c>
    </row>
    <row r="32" spans="1:7" ht="15.75">
      <c r="A32" s="25"/>
      <c r="B32" s="1108"/>
      <c r="C32" s="888"/>
      <c r="D32" s="32"/>
      <c r="F32" s="46"/>
      <c r="G32" s="47"/>
    </row>
    <row r="33" spans="1:7" ht="47.25">
      <c r="A33" s="25" t="s">
        <v>959</v>
      </c>
      <c r="B33" s="1108" t="s">
        <v>960</v>
      </c>
      <c r="C33" s="888"/>
      <c r="D33" s="32" t="s">
        <v>176</v>
      </c>
      <c r="E33" s="46">
        <v>29</v>
      </c>
      <c r="F33" s="805"/>
      <c r="G33" s="47">
        <f t="shared" si="0"/>
        <v>0</v>
      </c>
    </row>
    <row r="34" spans="1:7" ht="15.75">
      <c r="A34" s="25"/>
      <c r="B34" s="1108"/>
      <c r="C34" s="888"/>
      <c r="D34" s="32"/>
      <c r="F34" s="46"/>
      <c r="G34" s="47"/>
    </row>
    <row r="35" spans="1:7" ht="63">
      <c r="A35" s="25" t="s">
        <v>961</v>
      </c>
      <c r="B35" s="1108" t="s">
        <v>962</v>
      </c>
      <c r="C35" s="888"/>
      <c r="D35" s="32" t="s">
        <v>11</v>
      </c>
      <c r="E35" s="46">
        <v>20</v>
      </c>
      <c r="F35" s="805"/>
      <c r="G35" s="47">
        <f t="shared" si="0"/>
        <v>0</v>
      </c>
    </row>
    <row r="36" spans="1:7" ht="15.75">
      <c r="A36" s="25"/>
      <c r="B36" s="1108"/>
      <c r="C36" s="888"/>
      <c r="D36" s="32"/>
      <c r="F36" s="46"/>
      <c r="G36" s="47"/>
    </row>
    <row r="37" spans="1:7" ht="49.5" customHeight="1">
      <c r="A37" s="25" t="s">
        <v>963</v>
      </c>
      <c r="B37" s="1108" t="s">
        <v>1052</v>
      </c>
      <c r="C37" s="888" t="s">
        <v>1266</v>
      </c>
      <c r="D37" s="32" t="s">
        <v>176</v>
      </c>
      <c r="E37" s="46">
        <v>420</v>
      </c>
      <c r="F37" s="805"/>
      <c r="G37" s="47">
        <f t="shared" si="0"/>
        <v>0</v>
      </c>
    </row>
    <row r="38" spans="1:7" ht="15.75">
      <c r="A38" s="25"/>
      <c r="B38" s="1108"/>
      <c r="C38" s="888"/>
      <c r="D38" s="32"/>
      <c r="F38" s="46"/>
      <c r="G38" s="47"/>
    </row>
    <row r="39" spans="1:7" ht="63">
      <c r="A39" s="25" t="s">
        <v>964</v>
      </c>
      <c r="B39" s="1108" t="s">
        <v>965</v>
      </c>
      <c r="C39" s="888"/>
      <c r="D39" s="32" t="s">
        <v>898</v>
      </c>
      <c r="E39" s="46">
        <v>1</v>
      </c>
      <c r="F39" s="805"/>
      <c r="G39" s="47">
        <f t="shared" si="0"/>
        <v>0</v>
      </c>
    </row>
    <row r="40" spans="1:7" ht="15.75">
      <c r="A40" s="54"/>
      <c r="B40" s="905" t="s">
        <v>1157</v>
      </c>
      <c r="C40" s="55"/>
      <c r="D40" s="56"/>
      <c r="E40" s="57"/>
      <c r="F40" s="57"/>
      <c r="G40" s="59">
        <f>SUM(G13:G39)</f>
        <v>0</v>
      </c>
    </row>
    <row r="42" spans="1:7" ht="31.5">
      <c r="A42" s="897"/>
      <c r="B42" s="1197" t="s">
        <v>1043</v>
      </c>
      <c r="C42" s="1196" t="s">
        <v>1275</v>
      </c>
      <c r="D42" s="897"/>
      <c r="E42" s="898"/>
      <c r="F42" s="898"/>
      <c r="G42" s="899"/>
    </row>
    <row r="43" spans="1:7">
      <c r="A43" s="895"/>
      <c r="B43" s="1111"/>
      <c r="C43" s="895"/>
      <c r="D43" s="896"/>
      <c r="E43" s="896"/>
      <c r="F43" s="1165"/>
      <c r="G43" s="896"/>
    </row>
    <row r="44" spans="1:7" ht="47.25">
      <c r="A44" s="25" t="s">
        <v>60</v>
      </c>
      <c r="B44" s="1108" t="s">
        <v>1171</v>
      </c>
      <c r="C44" s="888" t="s">
        <v>1267</v>
      </c>
      <c r="D44" s="32"/>
      <c r="E44" s="46"/>
      <c r="F44" s="47"/>
      <c r="G44" s="47"/>
    </row>
    <row r="45" spans="1:7" ht="15.75">
      <c r="A45" s="25"/>
      <c r="B45" s="1108" t="s">
        <v>1169</v>
      </c>
      <c r="C45" s="888"/>
      <c r="D45" s="32" t="s">
        <v>176</v>
      </c>
      <c r="E45" s="46">
        <v>330</v>
      </c>
      <c r="F45" s="805"/>
      <c r="G45" s="47">
        <f>E45*F45</f>
        <v>0</v>
      </c>
    </row>
    <row r="46" spans="1:7" ht="15.75">
      <c r="A46" s="25"/>
      <c r="B46" s="1108" t="s">
        <v>1168</v>
      </c>
      <c r="C46" s="888"/>
      <c r="D46" s="32" t="s">
        <v>176</v>
      </c>
      <c r="E46" s="46">
        <v>150</v>
      </c>
      <c r="F46" s="805"/>
      <c r="G46" s="47">
        <f>E46*F46</f>
        <v>0</v>
      </c>
    </row>
    <row r="47" spans="1:7" ht="15.75">
      <c r="A47" s="25"/>
      <c r="B47" s="1108" t="s">
        <v>1170</v>
      </c>
      <c r="C47" s="888"/>
      <c r="D47" s="32" t="s">
        <v>176</v>
      </c>
      <c r="E47" s="46">
        <v>150</v>
      </c>
      <c r="F47" s="805"/>
      <c r="G47" s="47">
        <f>E47*F47</f>
        <v>0</v>
      </c>
    </row>
    <row r="48" spans="1:7" ht="15.75">
      <c r="A48" s="25"/>
      <c r="B48" s="1108"/>
      <c r="C48" s="888"/>
      <c r="D48" s="32"/>
      <c r="F48" s="46"/>
      <c r="G48" s="47"/>
    </row>
    <row r="49" spans="1:7" ht="63">
      <c r="A49" s="25" t="s">
        <v>63</v>
      </c>
      <c r="B49" s="1108" t="s">
        <v>966</v>
      </c>
      <c r="C49" s="888" t="s">
        <v>1267</v>
      </c>
      <c r="D49" s="32"/>
      <c r="E49" s="46"/>
      <c r="F49" s="47"/>
      <c r="G49" s="47"/>
    </row>
    <row r="50" spans="1:7" ht="31.5">
      <c r="A50" s="25"/>
      <c r="B50" s="1108" t="s">
        <v>967</v>
      </c>
      <c r="C50" s="888"/>
      <c r="D50" s="32" t="s">
        <v>176</v>
      </c>
      <c r="E50" s="46">
        <v>50</v>
      </c>
      <c r="F50" s="805"/>
      <c r="G50" s="47">
        <f t="shared" ref="G50:G65" si="1">E50*F50</f>
        <v>0</v>
      </c>
    </row>
    <row r="51" spans="1:7" ht="15.75">
      <c r="A51" s="25"/>
      <c r="B51" s="1108" t="s">
        <v>1172</v>
      </c>
      <c r="C51" s="888"/>
      <c r="D51" s="32" t="s">
        <v>176</v>
      </c>
      <c r="E51" s="46">
        <v>100</v>
      </c>
      <c r="F51" s="805"/>
      <c r="G51" s="47">
        <f t="shared" si="1"/>
        <v>0</v>
      </c>
    </row>
    <row r="52" spans="1:7" ht="15.75">
      <c r="A52" s="25"/>
      <c r="B52" s="1108"/>
      <c r="C52" s="888"/>
      <c r="D52" s="32"/>
      <c r="F52"/>
      <c r="G52" s="47"/>
    </row>
    <row r="53" spans="1:7" ht="63">
      <c r="A53" s="25" t="s">
        <v>52</v>
      </c>
      <c r="B53" s="1108" t="s">
        <v>1158</v>
      </c>
      <c r="C53" s="888" t="s">
        <v>1267</v>
      </c>
      <c r="D53" s="32" t="s">
        <v>11</v>
      </c>
      <c r="E53" s="46">
        <v>38</v>
      </c>
      <c r="F53" s="805"/>
      <c r="G53" s="47">
        <f t="shared" si="1"/>
        <v>0</v>
      </c>
    </row>
    <row r="54" spans="1:7" ht="15.75">
      <c r="A54" s="25"/>
      <c r="B54" s="1108"/>
      <c r="C54" s="888"/>
      <c r="D54" s="32"/>
      <c r="F54" s="46"/>
      <c r="G54" s="47"/>
    </row>
    <row r="55" spans="1:7" ht="47.25">
      <c r="A55" s="25" t="s">
        <v>56</v>
      </c>
      <c r="B55" s="1108" t="s">
        <v>968</v>
      </c>
      <c r="C55" s="888" t="s">
        <v>1267</v>
      </c>
      <c r="D55" s="32" t="s">
        <v>11</v>
      </c>
      <c r="E55" s="46">
        <v>38</v>
      </c>
      <c r="F55" s="805"/>
      <c r="G55" s="47">
        <f t="shared" si="1"/>
        <v>0</v>
      </c>
    </row>
    <row r="56" spans="1:7" ht="15.75">
      <c r="A56" s="25"/>
      <c r="B56" s="1108"/>
      <c r="C56" s="888"/>
      <c r="D56" s="32"/>
      <c r="F56" s="46"/>
      <c r="G56" s="47"/>
    </row>
    <row r="57" spans="1:7" ht="63">
      <c r="A57" s="25" t="s">
        <v>350</v>
      </c>
      <c r="B57" s="1108" t="s">
        <v>969</v>
      </c>
      <c r="C57" s="888" t="s">
        <v>1267</v>
      </c>
      <c r="D57" s="32" t="s">
        <v>11</v>
      </c>
      <c r="E57" s="46">
        <v>13</v>
      </c>
      <c r="F57" s="805"/>
      <c r="G57" s="47">
        <f t="shared" si="1"/>
        <v>0</v>
      </c>
    </row>
    <row r="58" spans="1:7" ht="15.75">
      <c r="A58" s="25"/>
      <c r="B58" s="1108"/>
      <c r="C58" s="888"/>
      <c r="D58" s="32"/>
      <c r="F58" s="46"/>
      <c r="G58" s="47"/>
    </row>
    <row r="59" spans="1:7" ht="63">
      <c r="A59" s="25" t="s">
        <v>552</v>
      </c>
      <c r="B59" s="1108" t="s">
        <v>970</v>
      </c>
      <c r="C59" s="888" t="s">
        <v>1267</v>
      </c>
      <c r="D59" s="32" t="s">
        <v>11</v>
      </c>
      <c r="E59" s="46">
        <v>12</v>
      </c>
      <c r="F59" s="805"/>
      <c r="G59" s="47">
        <f t="shared" si="1"/>
        <v>0</v>
      </c>
    </row>
    <row r="60" spans="1:7" ht="15.75">
      <c r="A60" s="25"/>
      <c r="B60" s="1108"/>
      <c r="C60" s="888"/>
      <c r="D60" s="32"/>
      <c r="F60" s="46"/>
      <c r="G60" s="47"/>
    </row>
    <row r="61" spans="1:7" ht="47.25">
      <c r="A61" s="25" t="s">
        <v>697</v>
      </c>
      <c r="B61" s="1108" t="s">
        <v>1045</v>
      </c>
      <c r="C61" s="888"/>
      <c r="D61" s="32" t="s">
        <v>11</v>
      </c>
      <c r="E61" s="46">
        <v>16</v>
      </c>
      <c r="F61" s="805"/>
      <c r="G61" s="47">
        <f t="shared" si="1"/>
        <v>0</v>
      </c>
    </row>
    <row r="62" spans="1:7" ht="31.5">
      <c r="A62" s="25" t="s">
        <v>702</v>
      </c>
      <c r="B62" s="1108" t="s">
        <v>971</v>
      </c>
      <c r="C62" s="888" t="s">
        <v>1267</v>
      </c>
      <c r="D62" s="32" t="s">
        <v>11</v>
      </c>
      <c r="E62" s="46">
        <v>3</v>
      </c>
      <c r="F62" s="805"/>
      <c r="G62" s="47">
        <f t="shared" si="1"/>
        <v>0</v>
      </c>
    </row>
    <row r="63" spans="1:7" ht="31.5">
      <c r="A63" s="25" t="s">
        <v>703</v>
      </c>
      <c r="B63" s="1108" t="s">
        <v>972</v>
      </c>
      <c r="C63" s="888" t="s">
        <v>1267</v>
      </c>
      <c r="D63" s="32" t="s">
        <v>11</v>
      </c>
      <c r="E63" s="46">
        <v>3</v>
      </c>
      <c r="F63" s="805"/>
      <c r="G63" s="47">
        <f t="shared" si="1"/>
        <v>0</v>
      </c>
    </row>
    <row r="64" spans="1:7" ht="31.5">
      <c r="A64" s="25" t="s">
        <v>952</v>
      </c>
      <c r="B64" s="1108" t="s">
        <v>973</v>
      </c>
      <c r="C64" s="888" t="s">
        <v>1267</v>
      </c>
      <c r="D64" s="32" t="s">
        <v>11</v>
      </c>
      <c r="E64" s="46">
        <v>1</v>
      </c>
      <c r="F64" s="805"/>
      <c r="G64" s="47">
        <f t="shared" si="1"/>
        <v>0</v>
      </c>
    </row>
    <row r="65" spans="1:7" ht="47.25">
      <c r="A65" s="25" t="s">
        <v>955</v>
      </c>
      <c r="B65" s="1108" t="s">
        <v>974</v>
      </c>
      <c r="C65" s="888"/>
      <c r="D65" s="32" t="s">
        <v>176</v>
      </c>
      <c r="E65" s="46">
        <f>+(E53+E55+E57+E59+E61+E62+E63+E64)*7</f>
        <v>868</v>
      </c>
      <c r="F65" s="805"/>
      <c r="G65" s="47">
        <f t="shared" si="1"/>
        <v>0</v>
      </c>
    </row>
    <row r="66" spans="1:7" ht="63">
      <c r="A66" s="25" t="s">
        <v>957</v>
      </c>
      <c r="B66" s="1108" t="s">
        <v>975</v>
      </c>
      <c r="C66" s="888"/>
      <c r="D66" s="32"/>
      <c r="E66" s="46"/>
      <c r="F66" s="47"/>
      <c r="G66" s="47"/>
    </row>
    <row r="67" spans="1:7" ht="15.75">
      <c r="A67" s="25"/>
      <c r="B67" s="1108" t="s">
        <v>976</v>
      </c>
      <c r="C67" s="888"/>
      <c r="D67" s="32" t="s">
        <v>11</v>
      </c>
      <c r="E67" s="46">
        <v>32</v>
      </c>
      <c r="F67" s="805"/>
      <c r="G67" s="47">
        <f>E67*F67</f>
        <v>0</v>
      </c>
    </row>
    <row r="68" spans="1:7" ht="15.75">
      <c r="A68" s="25"/>
      <c r="B68" s="1108" t="s">
        <v>977</v>
      </c>
      <c r="C68" s="888"/>
      <c r="D68" s="32" t="s">
        <v>11</v>
      </c>
      <c r="E68" s="46">
        <v>12</v>
      </c>
      <c r="F68" s="805"/>
      <c r="G68" s="47">
        <f>E68*F68</f>
        <v>0</v>
      </c>
    </row>
    <row r="69" spans="1:7" ht="15.75">
      <c r="A69" s="25"/>
      <c r="B69" s="1108"/>
      <c r="C69" s="888"/>
      <c r="D69" s="32"/>
      <c r="F69" s="46"/>
      <c r="G69" s="47"/>
    </row>
    <row r="70" spans="1:7" ht="78.75">
      <c r="A70" s="25" t="s">
        <v>959</v>
      </c>
      <c r="B70" s="1108" t="s">
        <v>978</v>
      </c>
      <c r="C70" s="888"/>
      <c r="D70" s="32"/>
      <c r="E70" s="46"/>
      <c r="F70" s="47"/>
      <c r="G70" s="47"/>
    </row>
    <row r="71" spans="1:7" ht="31.5">
      <c r="A71" s="25"/>
      <c r="B71" s="1108" t="s">
        <v>979</v>
      </c>
      <c r="C71" s="888"/>
      <c r="D71" s="32" t="s">
        <v>11</v>
      </c>
      <c r="E71" s="46">
        <v>33</v>
      </c>
      <c r="F71" s="805"/>
      <c r="G71" s="47">
        <f>E71*F71</f>
        <v>0</v>
      </c>
    </row>
    <row r="72" spans="1:7" ht="31.5">
      <c r="A72" s="25"/>
      <c r="B72" s="1108" t="s">
        <v>980</v>
      </c>
      <c r="C72" s="888"/>
      <c r="D72" s="32" t="s">
        <v>11</v>
      </c>
      <c r="E72" s="46">
        <v>18</v>
      </c>
      <c r="F72" s="805"/>
      <c r="G72" s="47">
        <f>E72*F72</f>
        <v>0</v>
      </c>
    </row>
    <row r="73" spans="1:7" ht="31.5">
      <c r="A73" s="25"/>
      <c r="B73" s="1108" t="s">
        <v>981</v>
      </c>
      <c r="C73" s="888"/>
      <c r="D73" s="32" t="s">
        <v>11</v>
      </c>
      <c r="E73" s="46">
        <v>9</v>
      </c>
      <c r="F73" s="805"/>
      <c r="G73" s="47">
        <f>E73*F73</f>
        <v>0</v>
      </c>
    </row>
    <row r="74" spans="1:7" ht="15.75">
      <c r="A74" s="25"/>
      <c r="B74" s="1108"/>
      <c r="C74" s="888"/>
      <c r="D74" s="32"/>
      <c r="F74" s="46"/>
      <c r="G74" s="47"/>
    </row>
    <row r="75" spans="1:7" ht="47.25">
      <c r="A75" s="25" t="s">
        <v>961</v>
      </c>
      <c r="B75" s="1108" t="s">
        <v>982</v>
      </c>
      <c r="C75" s="888"/>
      <c r="D75" s="32" t="s">
        <v>11</v>
      </c>
      <c r="E75" s="46">
        <f>+(E71+E72+E73)*12</f>
        <v>720</v>
      </c>
      <c r="F75" s="805"/>
      <c r="G75" s="47">
        <f>E75*F75</f>
        <v>0</v>
      </c>
    </row>
    <row r="76" spans="1:7" ht="15.75">
      <c r="A76" s="25"/>
      <c r="B76" s="1108"/>
      <c r="C76" s="888"/>
      <c r="D76" s="32"/>
      <c r="F76" s="46"/>
      <c r="G76" s="47"/>
    </row>
    <row r="77" spans="1:7" s="906" customFormat="1" ht="31.5">
      <c r="A77" s="25" t="s">
        <v>963</v>
      </c>
      <c r="B77" s="1108" t="s">
        <v>1049</v>
      </c>
      <c r="C77" s="888" t="s">
        <v>1267</v>
      </c>
      <c r="D77" s="32" t="s">
        <v>11</v>
      </c>
      <c r="E77" s="46">
        <v>1</v>
      </c>
      <c r="F77" s="805"/>
      <c r="G77" s="47">
        <f>E77*F77</f>
        <v>0</v>
      </c>
    </row>
    <row r="78" spans="1:7" ht="15.75">
      <c r="A78" s="25"/>
      <c r="B78" s="1108"/>
      <c r="C78" s="888"/>
      <c r="D78" s="32"/>
      <c r="F78" s="46"/>
      <c r="G78" s="47"/>
    </row>
    <row r="79" spans="1:7" s="183" customFormat="1" ht="31.5">
      <c r="A79" s="25" t="s">
        <v>964</v>
      </c>
      <c r="B79" s="1108" t="s">
        <v>1048</v>
      </c>
      <c r="C79" s="888" t="s">
        <v>1267</v>
      </c>
      <c r="D79" s="32" t="s">
        <v>11</v>
      </c>
      <c r="E79" s="46">
        <v>1</v>
      </c>
      <c r="F79" s="805"/>
      <c r="G79" s="47">
        <f>E79*F79</f>
        <v>0</v>
      </c>
    </row>
    <row r="80" spans="1:7" ht="15.75">
      <c r="A80" s="25"/>
      <c r="B80" s="1108"/>
      <c r="C80" s="888"/>
      <c r="D80" s="32"/>
      <c r="F80" s="46"/>
      <c r="G80" s="47"/>
    </row>
    <row r="81" spans="1:7" s="183" customFormat="1" ht="31.5">
      <c r="A81" s="25" t="s">
        <v>983</v>
      </c>
      <c r="B81" s="1108" t="s">
        <v>1047</v>
      </c>
      <c r="C81" s="888" t="s">
        <v>1267</v>
      </c>
      <c r="D81" s="32" t="s">
        <v>11</v>
      </c>
      <c r="E81" s="46">
        <v>6</v>
      </c>
      <c r="F81" s="805"/>
      <c r="G81" s="47">
        <f>E81*F81</f>
        <v>0</v>
      </c>
    </row>
    <row r="82" spans="1:7" ht="15.75">
      <c r="A82" s="25"/>
      <c r="B82" s="1108"/>
      <c r="C82" s="888"/>
      <c r="D82" s="32"/>
      <c r="F82" s="46"/>
      <c r="G82" s="47"/>
    </row>
    <row r="83" spans="1:7" ht="78.75">
      <c r="A83" s="25" t="s">
        <v>984</v>
      </c>
      <c r="B83" s="1108" t="s">
        <v>985</v>
      </c>
      <c r="C83" s="888"/>
      <c r="D83" s="32" t="s">
        <v>176</v>
      </c>
      <c r="E83" s="46">
        <v>110</v>
      </c>
      <c r="F83" s="805"/>
      <c r="G83" s="47">
        <f>E83*F83</f>
        <v>0</v>
      </c>
    </row>
    <row r="84" spans="1:7" ht="15.75">
      <c r="A84" s="25"/>
      <c r="B84" s="1108"/>
      <c r="C84" s="888"/>
      <c r="D84" s="32"/>
      <c r="F84" s="46"/>
      <c r="G84" s="47"/>
    </row>
    <row r="85" spans="1:7" ht="63">
      <c r="A85" s="25" t="s">
        <v>762</v>
      </c>
      <c r="B85" s="1108" t="s">
        <v>986</v>
      </c>
      <c r="C85" s="888"/>
      <c r="D85" s="32" t="s">
        <v>176</v>
      </c>
      <c r="E85" s="46">
        <v>180</v>
      </c>
      <c r="F85" s="805"/>
      <c r="G85" s="47">
        <f>E85*F85</f>
        <v>0</v>
      </c>
    </row>
    <row r="86" spans="1:7" ht="15.75">
      <c r="A86" s="25"/>
      <c r="B86" s="1108"/>
      <c r="C86" s="888"/>
      <c r="D86" s="32"/>
      <c r="F86" s="46"/>
      <c r="G86" s="47"/>
    </row>
    <row r="87" spans="1:7" ht="15.75">
      <c r="A87" s="25" t="s">
        <v>987</v>
      </c>
      <c r="B87" s="1108" t="s">
        <v>988</v>
      </c>
      <c r="C87" s="888"/>
      <c r="D87" s="32" t="s">
        <v>898</v>
      </c>
      <c r="E87" s="46">
        <v>1</v>
      </c>
      <c r="F87" s="805"/>
      <c r="G87" s="47">
        <f>E87*F87</f>
        <v>0</v>
      </c>
    </row>
    <row r="88" spans="1:7" ht="15.75">
      <c r="A88" s="54"/>
      <c r="B88" s="905" t="s">
        <v>1034</v>
      </c>
      <c r="C88" s="55"/>
      <c r="D88" s="56"/>
      <c r="E88" s="57"/>
      <c r="F88" s="57"/>
      <c r="G88" s="59">
        <f>SUM(G45:G87)</f>
        <v>0</v>
      </c>
    </row>
    <row r="91" spans="1:7" ht="15.75">
      <c r="A91" s="897"/>
      <c r="B91" s="900" t="s">
        <v>1298</v>
      </c>
      <c r="C91" s="1196" t="s">
        <v>1275</v>
      </c>
      <c r="D91" s="897"/>
      <c r="E91" s="898"/>
      <c r="F91" s="898"/>
      <c r="G91" s="899"/>
    </row>
    <row r="92" spans="1:7">
      <c r="A92" s="895"/>
      <c r="B92" s="1111"/>
      <c r="C92" s="895"/>
      <c r="D92" s="896"/>
      <c r="E92" s="896"/>
      <c r="F92" s="1165"/>
      <c r="G92" s="896"/>
    </row>
    <row r="93" spans="1:7" ht="30">
      <c r="A93" s="766" t="s">
        <v>891</v>
      </c>
      <c r="B93" s="1104" t="s">
        <v>892</v>
      </c>
      <c r="C93" s="768" t="s">
        <v>894</v>
      </c>
      <c r="D93" s="768" t="s">
        <v>1</v>
      </c>
      <c r="E93" s="769" t="s">
        <v>893</v>
      </c>
      <c r="F93" s="769" t="s">
        <v>1234</v>
      </c>
      <c r="G93" s="769" t="s">
        <v>1233</v>
      </c>
    </row>
    <row r="94" spans="1:7" ht="31.5">
      <c r="A94" s="25" t="s">
        <v>60</v>
      </c>
      <c r="B94" s="1108" t="s">
        <v>1053</v>
      </c>
      <c r="C94" s="888" t="s">
        <v>1268</v>
      </c>
      <c r="D94" s="32" t="s">
        <v>176</v>
      </c>
      <c r="E94" s="46">
        <v>652</v>
      </c>
      <c r="F94" s="805"/>
      <c r="G94" s="47">
        <f>+E94*F94</f>
        <v>0</v>
      </c>
    </row>
    <row r="95" spans="1:7" ht="48" customHeight="1">
      <c r="A95" s="25" t="s">
        <v>63</v>
      </c>
      <c r="B95" s="1108" t="s">
        <v>989</v>
      </c>
      <c r="C95" s="888"/>
      <c r="D95" s="32" t="s">
        <v>176</v>
      </c>
      <c r="E95" s="46">
        <v>20</v>
      </c>
      <c r="F95" s="805"/>
      <c r="G95" s="47">
        <f t="shared" ref="G95:G131" si="2">+E95*F95</f>
        <v>0</v>
      </c>
    </row>
    <row r="96" spans="1:7" ht="47.25">
      <c r="A96" s="25" t="s">
        <v>52</v>
      </c>
      <c r="B96" s="1108" t="s">
        <v>990</v>
      </c>
      <c r="C96" s="888"/>
      <c r="D96" s="32"/>
      <c r="E96" s="46"/>
      <c r="F96" s="47"/>
      <c r="G96" s="47"/>
    </row>
    <row r="97" spans="1:7" ht="15.75">
      <c r="A97" s="25"/>
      <c r="B97" s="1108" t="s">
        <v>991</v>
      </c>
      <c r="C97" s="888"/>
      <c r="D97" s="32" t="s">
        <v>11</v>
      </c>
      <c r="E97" s="46">
        <v>23</v>
      </c>
      <c r="F97" s="805"/>
      <c r="G97" s="47">
        <f t="shared" si="2"/>
        <v>0</v>
      </c>
    </row>
    <row r="98" spans="1:7" ht="31.5">
      <c r="A98" s="25" t="s">
        <v>56</v>
      </c>
      <c r="B98" s="1108" t="s">
        <v>992</v>
      </c>
      <c r="C98" s="888" t="s">
        <v>1268</v>
      </c>
      <c r="D98" s="32" t="s">
        <v>11</v>
      </c>
      <c r="E98" s="46">
        <v>23</v>
      </c>
      <c r="F98" s="805"/>
      <c r="G98" s="47">
        <f>+E98*F98</f>
        <v>0</v>
      </c>
    </row>
    <row r="99" spans="1:7" ht="31.5">
      <c r="A99" s="25" t="s">
        <v>350</v>
      </c>
      <c r="B99" s="1108" t="s">
        <v>993</v>
      </c>
      <c r="C99" s="888" t="s">
        <v>1268</v>
      </c>
      <c r="D99" s="32" t="s">
        <v>11</v>
      </c>
      <c r="E99" s="46">
        <v>23</v>
      </c>
      <c r="F99" s="805"/>
      <c r="G99" s="47">
        <f t="shared" si="2"/>
        <v>0</v>
      </c>
    </row>
    <row r="100" spans="1:7" ht="31.5">
      <c r="A100" s="25" t="s">
        <v>552</v>
      </c>
      <c r="B100" s="1108" t="s">
        <v>1054</v>
      </c>
      <c r="C100" s="888" t="s">
        <v>1268</v>
      </c>
      <c r="D100" s="32" t="s">
        <v>11</v>
      </c>
      <c r="E100" s="46">
        <v>23</v>
      </c>
      <c r="F100" s="805"/>
      <c r="G100" s="47">
        <f t="shared" si="2"/>
        <v>0</v>
      </c>
    </row>
    <row r="101" spans="1:7" ht="63">
      <c r="A101" s="25" t="s">
        <v>697</v>
      </c>
      <c r="B101" s="1108" t="s">
        <v>1055</v>
      </c>
      <c r="C101" s="888" t="s">
        <v>1268</v>
      </c>
      <c r="D101" s="32"/>
      <c r="E101" s="46"/>
      <c r="F101" s="47"/>
      <c r="G101" s="47"/>
    </row>
    <row r="102" spans="1:7" ht="15.75">
      <c r="A102" s="25"/>
      <c r="B102" s="1108" t="s">
        <v>994</v>
      </c>
      <c r="C102" s="888"/>
      <c r="D102" s="32" t="s">
        <v>176</v>
      </c>
      <c r="E102" s="46">
        <v>652</v>
      </c>
      <c r="F102" s="805"/>
      <c r="G102" s="47">
        <f>+E102*F102</f>
        <v>0</v>
      </c>
    </row>
    <row r="103" spans="1:7" ht="63">
      <c r="A103" s="25" t="s">
        <v>702</v>
      </c>
      <c r="B103" s="1108" t="s">
        <v>1056</v>
      </c>
      <c r="C103" s="888" t="s">
        <v>1268</v>
      </c>
      <c r="D103" s="32" t="s">
        <v>176</v>
      </c>
      <c r="E103" s="46">
        <v>640</v>
      </c>
      <c r="F103" s="805"/>
      <c r="G103" s="47">
        <f t="shared" si="2"/>
        <v>0</v>
      </c>
    </row>
    <row r="104" spans="1:7" ht="252">
      <c r="A104" s="25" t="s">
        <v>703</v>
      </c>
      <c r="B104" s="1108" t="s">
        <v>995</v>
      </c>
      <c r="C104" s="888" t="s">
        <v>1268</v>
      </c>
      <c r="D104" s="32" t="s">
        <v>898</v>
      </c>
      <c r="E104" s="46">
        <v>1</v>
      </c>
      <c r="F104" s="805"/>
      <c r="G104" s="47">
        <f t="shared" si="2"/>
        <v>0</v>
      </c>
    </row>
    <row r="105" spans="1:7" ht="31.5">
      <c r="A105" s="25" t="s">
        <v>952</v>
      </c>
      <c r="B105" s="1108" t="s">
        <v>996</v>
      </c>
      <c r="C105" s="888"/>
      <c r="D105" s="32"/>
      <c r="E105" s="46"/>
      <c r="F105" s="47"/>
      <c r="G105" s="47"/>
    </row>
    <row r="106" spans="1:7" ht="15.75">
      <c r="A106" s="25"/>
      <c r="B106" s="1108" t="s">
        <v>997</v>
      </c>
      <c r="C106" s="888"/>
      <c r="D106" s="32" t="s">
        <v>11</v>
      </c>
      <c r="E106" s="46">
        <v>7</v>
      </c>
      <c r="F106" s="805"/>
      <c r="G106" s="47">
        <f t="shared" si="2"/>
        <v>0</v>
      </c>
    </row>
    <row r="107" spans="1:7" ht="15.75">
      <c r="A107" s="25"/>
      <c r="B107" s="1108" t="s">
        <v>998</v>
      </c>
      <c r="C107" s="888"/>
      <c r="D107" s="32" t="s">
        <v>11</v>
      </c>
      <c r="E107" s="46">
        <v>7</v>
      </c>
      <c r="F107" s="805"/>
      <c r="G107" s="47">
        <f t="shared" si="2"/>
        <v>0</v>
      </c>
    </row>
    <row r="108" spans="1:7" ht="78.75">
      <c r="A108" s="25" t="s">
        <v>955</v>
      </c>
      <c r="B108" s="1108" t="s">
        <v>999</v>
      </c>
      <c r="C108" s="888"/>
      <c r="D108" s="32" t="s">
        <v>11</v>
      </c>
      <c r="E108" s="46">
        <v>30</v>
      </c>
      <c r="F108" s="805"/>
      <c r="G108" s="47">
        <f t="shared" si="2"/>
        <v>0</v>
      </c>
    </row>
    <row r="109" spans="1:7" ht="47.25">
      <c r="A109" s="25" t="s">
        <v>957</v>
      </c>
      <c r="B109" s="1108" t="s">
        <v>1000</v>
      </c>
      <c r="C109" s="888"/>
      <c r="D109" s="32"/>
      <c r="E109" s="46"/>
      <c r="F109" s="47"/>
      <c r="G109" s="47"/>
    </row>
    <row r="110" spans="1:7" ht="15.75">
      <c r="A110" s="25"/>
      <c r="B110" s="1108" t="s">
        <v>1001</v>
      </c>
      <c r="C110" s="888"/>
      <c r="D110" s="32" t="s">
        <v>11</v>
      </c>
      <c r="E110" s="46">
        <v>23</v>
      </c>
      <c r="F110" s="805"/>
      <c r="G110" s="47">
        <f t="shared" si="2"/>
        <v>0</v>
      </c>
    </row>
    <row r="111" spans="1:7" ht="63">
      <c r="A111" s="25" t="s">
        <v>959</v>
      </c>
      <c r="B111" s="1108" t="s">
        <v>1002</v>
      </c>
      <c r="C111" s="888"/>
      <c r="D111" s="32" t="s">
        <v>898</v>
      </c>
      <c r="E111" s="46">
        <v>1</v>
      </c>
      <c r="F111" s="805"/>
      <c r="G111" s="47">
        <f t="shared" si="2"/>
        <v>0</v>
      </c>
    </row>
    <row r="112" spans="1:7" ht="94.5">
      <c r="A112" s="25" t="s">
        <v>961</v>
      </c>
      <c r="B112" s="1108" t="s">
        <v>1057</v>
      </c>
      <c r="C112" s="888" t="s">
        <v>1268</v>
      </c>
      <c r="D112" s="32" t="s">
        <v>176</v>
      </c>
      <c r="E112" s="46">
        <v>652</v>
      </c>
      <c r="F112" s="805"/>
      <c r="G112" s="47">
        <f t="shared" si="2"/>
        <v>0</v>
      </c>
    </row>
    <row r="113" spans="1:7" ht="47.25">
      <c r="A113" s="25" t="s">
        <v>963</v>
      </c>
      <c r="B113" s="1108" t="s">
        <v>1003</v>
      </c>
      <c r="C113" s="888"/>
      <c r="D113" s="32" t="s">
        <v>176</v>
      </c>
      <c r="E113" s="46">
        <v>652</v>
      </c>
      <c r="F113" s="805"/>
      <c r="G113" s="47">
        <f t="shared" si="2"/>
        <v>0</v>
      </c>
    </row>
    <row r="114" spans="1:7" ht="110.25">
      <c r="A114" s="25" t="s">
        <v>964</v>
      </c>
      <c r="B114" s="1108" t="s">
        <v>1058</v>
      </c>
      <c r="C114" s="888" t="s">
        <v>1268</v>
      </c>
      <c r="D114" s="32" t="s">
        <v>945</v>
      </c>
      <c r="E114" s="46">
        <v>652</v>
      </c>
      <c r="F114" s="805"/>
      <c r="G114" s="47">
        <f t="shared" si="2"/>
        <v>0</v>
      </c>
    </row>
    <row r="115" spans="1:7" ht="47.25">
      <c r="A115" s="25" t="s">
        <v>983</v>
      </c>
      <c r="B115" s="1108" t="s">
        <v>1004</v>
      </c>
      <c r="C115" s="888"/>
      <c r="D115" s="32" t="s">
        <v>11</v>
      </c>
      <c r="E115" s="46">
        <v>15</v>
      </c>
      <c r="F115" s="805"/>
      <c r="G115" s="47">
        <f t="shared" si="2"/>
        <v>0</v>
      </c>
    </row>
    <row r="116" spans="1:7" ht="47.25">
      <c r="A116" s="25" t="s">
        <v>984</v>
      </c>
      <c r="B116" s="1108" t="s">
        <v>1005</v>
      </c>
      <c r="C116" s="888"/>
      <c r="D116" s="32" t="s">
        <v>945</v>
      </c>
      <c r="E116" s="46">
        <v>80</v>
      </c>
      <c r="F116" s="805"/>
      <c r="G116" s="47">
        <f t="shared" si="2"/>
        <v>0</v>
      </c>
    </row>
    <row r="117" spans="1:7" ht="31.5">
      <c r="A117" s="25" t="s">
        <v>762</v>
      </c>
      <c r="B117" s="1108" t="s">
        <v>1006</v>
      </c>
      <c r="C117" s="888"/>
      <c r="D117" s="32" t="s">
        <v>945</v>
      </c>
      <c r="E117" s="46">
        <v>20</v>
      </c>
      <c r="F117" s="805"/>
      <c r="G117" s="47">
        <f t="shared" si="2"/>
        <v>0</v>
      </c>
    </row>
    <row r="118" spans="1:7" ht="31.5">
      <c r="A118" s="25" t="s">
        <v>987</v>
      </c>
      <c r="B118" s="1108" t="s">
        <v>1059</v>
      </c>
      <c r="C118" s="888" t="s">
        <v>1268</v>
      </c>
      <c r="D118" s="32"/>
      <c r="E118" s="46"/>
      <c r="F118" s="47"/>
      <c r="G118" s="47"/>
    </row>
    <row r="119" spans="1:7" ht="15.75">
      <c r="A119" s="25"/>
      <c r="B119" s="1108" t="s">
        <v>1007</v>
      </c>
      <c r="C119" s="888"/>
      <c r="D119" s="32" t="s">
        <v>11</v>
      </c>
      <c r="E119" s="46">
        <v>1</v>
      </c>
      <c r="F119" s="805"/>
      <c r="G119" s="47">
        <f t="shared" si="2"/>
        <v>0</v>
      </c>
    </row>
    <row r="120" spans="1:7" ht="15.75">
      <c r="A120" s="25"/>
      <c r="B120" s="1108" t="s">
        <v>1008</v>
      </c>
      <c r="C120" s="888"/>
      <c r="D120" s="32" t="s">
        <v>11</v>
      </c>
      <c r="E120" s="46">
        <v>1</v>
      </c>
      <c r="F120" s="805"/>
      <c r="G120" s="47">
        <f t="shared" si="2"/>
        <v>0</v>
      </c>
    </row>
    <row r="121" spans="1:7" ht="31.5">
      <c r="A121" s="25"/>
      <c r="B121" s="1108" t="s">
        <v>1009</v>
      </c>
      <c r="C121" s="888"/>
      <c r="D121" s="32" t="s">
        <v>11</v>
      </c>
      <c r="E121" s="46">
        <v>1</v>
      </c>
      <c r="F121" s="805"/>
      <c r="G121" s="47">
        <f t="shared" si="2"/>
        <v>0</v>
      </c>
    </row>
    <row r="122" spans="1:7" ht="31.5">
      <c r="A122" s="25" t="s">
        <v>1010</v>
      </c>
      <c r="B122" s="1108" t="s">
        <v>1011</v>
      </c>
      <c r="C122" s="888" t="s">
        <v>1268</v>
      </c>
      <c r="D122" s="32" t="s">
        <v>11</v>
      </c>
      <c r="E122" s="46">
        <v>23</v>
      </c>
      <c r="F122" s="805"/>
      <c r="G122" s="47">
        <f t="shared" si="2"/>
        <v>0</v>
      </c>
    </row>
    <row r="123" spans="1:7" ht="47.25">
      <c r="A123" s="25" t="s">
        <v>1012</v>
      </c>
      <c r="B123" s="1108" t="s">
        <v>1013</v>
      </c>
      <c r="C123" s="888" t="s">
        <v>1268</v>
      </c>
      <c r="D123" s="32" t="s">
        <v>11</v>
      </c>
      <c r="E123" s="46">
        <v>14</v>
      </c>
      <c r="F123" s="805"/>
      <c r="G123" s="47">
        <f t="shared" si="2"/>
        <v>0</v>
      </c>
    </row>
    <row r="124" spans="1:7" ht="78.75">
      <c r="A124" s="25" t="s">
        <v>766</v>
      </c>
      <c r="B124" s="1108" t="s">
        <v>1014</v>
      </c>
      <c r="C124" s="888" t="s">
        <v>1268</v>
      </c>
      <c r="D124" s="32" t="s">
        <v>11</v>
      </c>
      <c r="E124" s="46">
        <v>17</v>
      </c>
      <c r="F124" s="805"/>
      <c r="G124" s="47">
        <f t="shared" si="2"/>
        <v>0</v>
      </c>
    </row>
    <row r="125" spans="1:7" ht="47.25">
      <c r="A125" s="25" t="s">
        <v>1015</v>
      </c>
      <c r="B125" s="1108" t="s">
        <v>1016</v>
      </c>
      <c r="C125" s="888"/>
      <c r="D125" s="32" t="s">
        <v>11</v>
      </c>
      <c r="E125" s="46">
        <v>17</v>
      </c>
      <c r="F125" s="805"/>
      <c r="G125" s="47">
        <f t="shared" si="2"/>
        <v>0</v>
      </c>
    </row>
    <row r="126" spans="1:7" ht="63">
      <c r="A126" s="25" t="s">
        <v>1017</v>
      </c>
      <c r="B126" s="1108" t="s">
        <v>1018</v>
      </c>
      <c r="C126" s="888" t="s">
        <v>1268</v>
      </c>
      <c r="D126" s="32" t="s">
        <v>11</v>
      </c>
      <c r="E126" s="46">
        <v>12</v>
      </c>
      <c r="F126" s="805"/>
      <c r="G126" s="47">
        <f t="shared" si="2"/>
        <v>0</v>
      </c>
    </row>
    <row r="127" spans="1:7" ht="94.5">
      <c r="A127" s="25" t="s">
        <v>1019</v>
      </c>
      <c r="B127" s="1108" t="s">
        <v>1020</v>
      </c>
      <c r="C127" s="888"/>
      <c r="D127" s="32" t="s">
        <v>176</v>
      </c>
      <c r="E127" s="46">
        <v>1230</v>
      </c>
      <c r="F127" s="805"/>
      <c r="G127" s="47">
        <f t="shared" si="2"/>
        <v>0</v>
      </c>
    </row>
    <row r="128" spans="1:7" ht="47.25">
      <c r="A128" s="25" t="s">
        <v>1021</v>
      </c>
      <c r="B128" s="1108" t="s">
        <v>1022</v>
      </c>
      <c r="C128" s="888"/>
      <c r="D128" s="32" t="s">
        <v>176</v>
      </c>
      <c r="E128" s="46">
        <v>49</v>
      </c>
      <c r="F128" s="805"/>
      <c r="G128" s="47">
        <f t="shared" si="2"/>
        <v>0</v>
      </c>
    </row>
    <row r="129" spans="1:7" ht="47.25">
      <c r="A129" s="25" t="s">
        <v>1023</v>
      </c>
      <c r="B129" s="1108" t="s">
        <v>1060</v>
      </c>
      <c r="C129" s="888" t="s">
        <v>1268</v>
      </c>
      <c r="D129" s="32" t="s">
        <v>11</v>
      </c>
      <c r="E129" s="46">
        <v>6</v>
      </c>
      <c r="F129" s="805"/>
      <c r="G129" s="47">
        <f t="shared" si="2"/>
        <v>0</v>
      </c>
    </row>
    <row r="130" spans="1:7" ht="63">
      <c r="A130" s="25" t="s">
        <v>1024</v>
      </c>
      <c r="B130" s="1108" t="s">
        <v>1025</v>
      </c>
      <c r="C130" s="888"/>
      <c r="D130" s="32" t="s">
        <v>11</v>
      </c>
      <c r="E130" s="46">
        <v>6</v>
      </c>
      <c r="F130" s="805"/>
      <c r="G130" s="47">
        <f t="shared" si="2"/>
        <v>0</v>
      </c>
    </row>
    <row r="131" spans="1:7" ht="15.75">
      <c r="A131" s="25" t="s">
        <v>1026</v>
      </c>
      <c r="B131" s="1108" t="s">
        <v>988</v>
      </c>
      <c r="C131" s="888"/>
      <c r="D131" s="32" t="s">
        <v>898</v>
      </c>
      <c r="E131" s="46">
        <v>1</v>
      </c>
      <c r="F131" s="805"/>
      <c r="G131" s="47">
        <f t="shared" si="2"/>
        <v>0</v>
      </c>
    </row>
    <row r="132" spans="1:7" ht="15.75">
      <c r="A132" s="54"/>
      <c r="B132" s="55" t="s">
        <v>1032</v>
      </c>
      <c r="C132" s="55"/>
      <c r="D132" s="56"/>
      <c r="E132" s="57"/>
      <c r="F132" s="58"/>
      <c r="G132" s="59">
        <f>SUM(G94:G131)</f>
        <v>0</v>
      </c>
    </row>
    <row r="134" spans="1:7" ht="15.75">
      <c r="A134" s="897"/>
      <c r="B134" s="900" t="s">
        <v>1299</v>
      </c>
      <c r="C134" s="1196" t="s">
        <v>1275</v>
      </c>
      <c r="D134" s="897"/>
      <c r="E134" s="898"/>
      <c r="F134" s="898"/>
      <c r="G134" s="899"/>
    </row>
    <row r="136" spans="1:7" ht="30">
      <c r="A136" s="766" t="s">
        <v>891</v>
      </c>
      <c r="B136" s="1104" t="s">
        <v>892</v>
      </c>
      <c r="C136" s="768" t="s">
        <v>894</v>
      </c>
      <c r="D136" s="768" t="s">
        <v>1</v>
      </c>
      <c r="E136" s="769" t="s">
        <v>893</v>
      </c>
      <c r="F136" s="769" t="s">
        <v>1234</v>
      </c>
      <c r="G136" s="769" t="s">
        <v>1233</v>
      </c>
    </row>
    <row r="137" spans="1:7">
      <c r="A137" s="1113"/>
      <c r="B137" s="1114"/>
      <c r="C137" s="1115"/>
      <c r="D137" s="1115"/>
      <c r="E137" s="1116"/>
      <c r="F137" s="1116"/>
      <c r="G137" s="1116"/>
    </row>
    <row r="138" spans="1:7" s="906" customFormat="1" ht="15.75">
      <c r="A138" s="25" t="s">
        <v>60</v>
      </c>
      <c r="B138" s="764" t="s">
        <v>1046</v>
      </c>
      <c r="C138" s="888" t="s">
        <v>1269</v>
      </c>
      <c r="D138" s="32" t="s">
        <v>898</v>
      </c>
      <c r="E138" s="46">
        <v>1</v>
      </c>
      <c r="F138" s="805"/>
      <c r="G138" s="47">
        <f>E138*F138</f>
        <v>0</v>
      </c>
    </row>
    <row r="139" spans="1:7" ht="15.75">
      <c r="A139" s="54"/>
      <c r="B139" s="905" t="s">
        <v>1035</v>
      </c>
      <c r="C139" s="55"/>
      <c r="D139" s="56"/>
      <c r="E139" s="57"/>
      <c r="F139" s="57"/>
      <c r="G139" s="59">
        <f>G138</f>
        <v>0</v>
      </c>
    </row>
    <row r="141" spans="1:7" ht="15.75">
      <c r="B141" s="1112"/>
    </row>
    <row r="142" spans="1:7" ht="15.75">
      <c r="A142" s="1132"/>
      <c r="B142" s="1531" t="s">
        <v>1040</v>
      </c>
      <c r="C142" s="1531"/>
      <c r="D142" s="1540"/>
      <c r="E142" s="1540"/>
      <c r="F142" s="1540"/>
      <c r="G142" s="1540"/>
    </row>
    <row r="143" spans="1:7" ht="15.75">
      <c r="A143" s="270" t="s">
        <v>247</v>
      </c>
      <c r="B143" s="1105" t="s">
        <v>840</v>
      </c>
      <c r="C143" s="661"/>
      <c r="D143" s="661"/>
      <c r="E143" s="661"/>
      <c r="F143" s="661"/>
      <c r="G143" s="294">
        <f>G9</f>
        <v>0</v>
      </c>
    </row>
    <row r="144" spans="1:7" ht="15.75">
      <c r="A144" s="270" t="s">
        <v>249</v>
      </c>
      <c r="B144" s="1105" t="s">
        <v>1027</v>
      </c>
      <c r="C144" s="661"/>
      <c r="D144" s="661"/>
      <c r="E144" s="661"/>
      <c r="F144" s="661"/>
      <c r="G144" s="294">
        <f>G40</f>
        <v>0</v>
      </c>
    </row>
    <row r="145" spans="1:7" ht="15.75">
      <c r="A145" s="270" t="s">
        <v>251</v>
      </c>
      <c r="B145" s="1105" t="s">
        <v>1044</v>
      </c>
      <c r="C145" s="661"/>
      <c r="D145" s="661"/>
      <c r="E145" s="661"/>
      <c r="F145" s="661"/>
      <c r="G145" s="294">
        <f>G88</f>
        <v>0</v>
      </c>
    </row>
    <row r="146" spans="1:7" ht="15.75">
      <c r="A146" s="270" t="s">
        <v>257</v>
      </c>
      <c r="B146" s="1105" t="s">
        <v>1028</v>
      </c>
      <c r="C146" s="661"/>
      <c r="D146" s="661"/>
      <c r="E146" s="661"/>
      <c r="F146" s="661"/>
      <c r="G146" s="294">
        <f>G132</f>
        <v>0</v>
      </c>
    </row>
    <row r="147" spans="1:7" ht="15.75">
      <c r="A147" s="270" t="s">
        <v>261</v>
      </c>
      <c r="B147" s="1105" t="s">
        <v>1029</v>
      </c>
      <c r="C147" s="661"/>
      <c r="D147" s="661"/>
      <c r="E147" s="661"/>
      <c r="F147" s="661"/>
      <c r="G147" s="294">
        <f>G139</f>
        <v>0</v>
      </c>
    </row>
    <row r="148" spans="1:7" ht="15.75">
      <c r="A148" s="1127"/>
      <c r="B148" s="1133" t="s">
        <v>1041</v>
      </c>
      <c r="C148" s="1134"/>
      <c r="D148" s="1130"/>
      <c r="E148" s="1135"/>
      <c r="F148" s="1131"/>
      <c r="G148" s="1136">
        <f>SUM(G143:G147)</f>
        <v>0</v>
      </c>
    </row>
  </sheetData>
  <sheetProtection sheet="1" objects="1" scenarios="1" formatRows="0" selectLockedCells="1"/>
  <mergeCells count="1">
    <mergeCell ref="B142:G142"/>
  </mergeCells>
  <pageMargins left="0.78740157480314965" right="0.39370078740157483" top="0.74803149606299213" bottom="0.62992125984251968" header="0.39370078740157483" footer="0.39370078740157483"/>
  <pageSetup paperSize="9" scale="78" orientation="portrait" r:id="rId1"/>
  <headerFooter alignWithMargins="0">
    <oddHeader>&amp;L&amp;"Times New Roman,Standard"Construction of BCP Kotroman&amp;R&amp;"Times New Roman,Standard"&amp;10Bill of Quantities</oddHeader>
    <oddFooter>&amp;R&amp;"Times New Roman,Regular"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3"/>
  <sheetViews>
    <sheetView showZeros="0" view="pageBreakPreview" topLeftCell="A54" zoomScale="85" zoomScaleNormal="90" zoomScaleSheetLayoutView="85" workbookViewId="0">
      <selection activeCell="F61" sqref="F61"/>
    </sheetView>
  </sheetViews>
  <sheetFormatPr baseColWidth="10" defaultColWidth="11.42578125" defaultRowHeight="15"/>
  <cols>
    <col min="1" max="1" width="6.42578125" customWidth="1"/>
    <col min="2" max="2" width="36.5703125" customWidth="1"/>
    <col min="3" max="3" width="11.85546875" customWidth="1"/>
    <col min="4" max="4" width="7.28515625" customWidth="1"/>
    <col min="5" max="5" width="11.5703125" customWidth="1"/>
    <col min="6" max="6" width="13.5703125" customWidth="1"/>
    <col min="7" max="7" width="16.42578125" customWidth="1"/>
  </cols>
  <sheetData>
    <row r="1" spans="1:7" ht="18.75">
      <c r="B1" s="1106" t="s">
        <v>1161</v>
      </c>
    </row>
    <row r="2" spans="1:7" ht="18.75">
      <c r="B2" s="1106" t="s">
        <v>1160</v>
      </c>
    </row>
    <row r="4" spans="1:7" ht="15.75">
      <c r="A4" s="898"/>
      <c r="B4" s="900" t="s">
        <v>1087</v>
      </c>
      <c r="C4" s="1198" t="s">
        <v>1278</v>
      </c>
      <c r="D4" s="897"/>
      <c r="E4" s="898"/>
      <c r="F4" s="898"/>
      <c r="G4" s="899"/>
    </row>
    <row r="5" spans="1:7">
      <c r="A5" s="895"/>
      <c r="B5" s="901"/>
      <c r="C5" s="895"/>
      <c r="D5" s="896"/>
      <c r="E5" s="896"/>
      <c r="F5" s="896"/>
      <c r="G5" s="896"/>
    </row>
    <row r="6" spans="1:7" ht="30">
      <c r="A6" s="766" t="s">
        <v>891</v>
      </c>
      <c r="B6" s="767" t="s">
        <v>892</v>
      </c>
      <c r="C6" s="768" t="s">
        <v>894</v>
      </c>
      <c r="D6" s="768" t="s">
        <v>1</v>
      </c>
      <c r="E6" s="769" t="s">
        <v>893</v>
      </c>
      <c r="F6" s="769" t="s">
        <v>1232</v>
      </c>
      <c r="G6" s="769" t="s">
        <v>1233</v>
      </c>
    </row>
    <row r="7" spans="1:7">
      <c r="A7" s="1113"/>
      <c r="B7" s="1117"/>
      <c r="C7" s="1115"/>
      <c r="D7" s="1115"/>
      <c r="E7" s="1116"/>
      <c r="F7" s="1116"/>
      <c r="G7" s="1116"/>
    </row>
    <row r="8" spans="1:7" ht="15.75">
      <c r="A8" s="25" t="s">
        <v>60</v>
      </c>
      <c r="B8" s="31" t="s">
        <v>1061</v>
      </c>
      <c r="C8" s="888"/>
      <c r="D8" s="32"/>
      <c r="E8" s="33"/>
      <c r="F8" s="47"/>
      <c r="G8" s="47"/>
    </row>
    <row r="9" spans="1:7" ht="15.75">
      <c r="A9" s="25"/>
      <c r="B9" s="31" t="s">
        <v>1062</v>
      </c>
      <c r="C9" s="888"/>
      <c r="D9" s="32" t="s">
        <v>1063</v>
      </c>
      <c r="E9" s="46">
        <v>2687</v>
      </c>
      <c r="F9" s="805"/>
      <c r="G9" s="47">
        <f t="shared" ref="G9:G16" si="0">E9*F9</f>
        <v>0</v>
      </c>
    </row>
    <row r="10" spans="1:7" ht="15" customHeight="1">
      <c r="A10" s="25"/>
      <c r="B10" s="31" t="s">
        <v>1064</v>
      </c>
      <c r="C10" s="888"/>
      <c r="D10" s="32" t="s">
        <v>1063</v>
      </c>
      <c r="E10" s="46">
        <v>487</v>
      </c>
      <c r="F10" s="805"/>
      <c r="G10" s="47">
        <f t="shared" si="0"/>
        <v>0</v>
      </c>
    </row>
    <row r="11" spans="1:7" ht="15" customHeight="1">
      <c r="A11" s="25"/>
      <c r="B11" s="31" t="s">
        <v>1065</v>
      </c>
      <c r="C11" s="888"/>
      <c r="D11" s="32" t="s">
        <v>1063</v>
      </c>
      <c r="E11" s="46">
        <v>114</v>
      </c>
      <c r="F11" s="805"/>
      <c r="G11" s="47">
        <f t="shared" si="0"/>
        <v>0</v>
      </c>
    </row>
    <row r="12" spans="1:7" ht="15.75">
      <c r="A12" s="25"/>
      <c r="B12" s="31" t="s">
        <v>1066</v>
      </c>
      <c r="C12" s="888"/>
      <c r="D12" s="32" t="s">
        <v>1063</v>
      </c>
      <c r="E12" s="46">
        <v>1647</v>
      </c>
      <c r="F12" s="805"/>
      <c r="G12" s="47">
        <f t="shared" si="0"/>
        <v>0</v>
      </c>
    </row>
    <row r="13" spans="1:7" ht="15" customHeight="1">
      <c r="A13" s="25"/>
      <c r="B13" s="31" t="s">
        <v>1067</v>
      </c>
      <c r="C13" s="888"/>
      <c r="D13" s="32" t="s">
        <v>1063</v>
      </c>
      <c r="E13" s="46">
        <v>1123</v>
      </c>
      <c r="F13" s="805"/>
      <c r="G13" s="47">
        <f>E13*F13</f>
        <v>0</v>
      </c>
    </row>
    <row r="14" spans="1:7" ht="15" customHeight="1">
      <c r="A14" s="25"/>
      <c r="B14" s="31" t="s">
        <v>1068</v>
      </c>
      <c r="C14" s="888"/>
      <c r="D14" s="32" t="s">
        <v>1063</v>
      </c>
      <c r="E14" s="46">
        <v>1732</v>
      </c>
      <c r="F14" s="805"/>
      <c r="G14" s="47">
        <f>E14*F14</f>
        <v>0</v>
      </c>
    </row>
    <row r="15" spans="1:7" ht="15" customHeight="1">
      <c r="A15" s="25" t="s">
        <v>63</v>
      </c>
      <c r="B15" s="31" t="s">
        <v>988</v>
      </c>
      <c r="C15" s="888"/>
      <c r="D15" s="32" t="s">
        <v>898</v>
      </c>
      <c r="E15" s="46">
        <v>1</v>
      </c>
      <c r="F15" s="805"/>
      <c r="G15" s="47">
        <f t="shared" si="0"/>
        <v>0</v>
      </c>
    </row>
    <row r="16" spans="1:7" ht="15" customHeight="1">
      <c r="A16" s="25" t="s">
        <v>65</v>
      </c>
      <c r="B16" s="31" t="s">
        <v>1069</v>
      </c>
      <c r="C16" s="888"/>
      <c r="D16" s="32" t="s">
        <v>898</v>
      </c>
      <c r="E16" s="46">
        <v>1</v>
      </c>
      <c r="F16" s="805"/>
      <c r="G16" s="47">
        <f t="shared" si="0"/>
        <v>0</v>
      </c>
    </row>
    <row r="17" spans="1:7" ht="15.75">
      <c r="A17" s="54"/>
      <c r="B17" s="905" t="s">
        <v>1084</v>
      </c>
      <c r="C17" s="55"/>
      <c r="D17" s="56"/>
      <c r="E17" s="57"/>
      <c r="F17" s="57"/>
      <c r="G17" s="59">
        <f>SUM(G9:G16)</f>
        <v>0</v>
      </c>
    </row>
    <row r="19" spans="1:7" ht="31.5">
      <c r="A19" s="898"/>
      <c r="B19" s="1197" t="s">
        <v>1088</v>
      </c>
      <c r="C19" s="1198" t="s">
        <v>1278</v>
      </c>
      <c r="D19" s="897"/>
      <c r="E19" s="898"/>
      <c r="F19" s="898"/>
      <c r="G19" s="899"/>
    </row>
    <row r="20" spans="1:7">
      <c r="A20" s="892"/>
      <c r="B20" s="892"/>
      <c r="C20" s="892"/>
      <c r="D20" s="892"/>
      <c r="E20" s="892"/>
      <c r="F20" s="892"/>
      <c r="G20" s="892"/>
    </row>
    <row r="21" spans="1:7" ht="30">
      <c r="A21" s="766" t="s">
        <v>891</v>
      </c>
      <c r="B21" s="767" t="s">
        <v>892</v>
      </c>
      <c r="C21" s="768" t="s">
        <v>894</v>
      </c>
      <c r="D21" s="768" t="s">
        <v>1</v>
      </c>
      <c r="E21" s="769" t="s">
        <v>893</v>
      </c>
      <c r="F21" s="769" t="s">
        <v>1232</v>
      </c>
      <c r="G21" s="769" t="s">
        <v>1233</v>
      </c>
    </row>
    <row r="22" spans="1:7">
      <c r="A22" s="1113"/>
      <c r="B22" s="1117"/>
      <c r="C22" s="1115"/>
      <c r="D22" s="1115"/>
      <c r="E22" s="1116"/>
      <c r="F22" s="1116"/>
      <c r="G22" s="1116"/>
    </row>
    <row r="23" spans="1:7" ht="31.5">
      <c r="A23" s="25" t="s">
        <v>60</v>
      </c>
      <c r="B23" s="31" t="s">
        <v>1070</v>
      </c>
      <c r="C23" s="888" t="s">
        <v>943</v>
      </c>
      <c r="D23" s="32" t="s">
        <v>11</v>
      </c>
      <c r="E23" s="46">
        <v>1</v>
      </c>
      <c r="F23" s="805"/>
      <c r="G23" s="47">
        <f t="shared" ref="G23:G28" si="1">+F23*E23</f>
        <v>0</v>
      </c>
    </row>
    <row r="24" spans="1:7" ht="15.75">
      <c r="A24" s="25" t="s">
        <v>63</v>
      </c>
      <c r="B24" s="31" t="s">
        <v>1071</v>
      </c>
      <c r="C24" s="888"/>
      <c r="D24" s="32" t="s">
        <v>11</v>
      </c>
      <c r="E24" s="46">
        <v>1</v>
      </c>
      <c r="F24" s="805"/>
      <c r="G24" s="47">
        <f t="shared" si="1"/>
        <v>0</v>
      </c>
    </row>
    <row r="25" spans="1:7" ht="19.5" customHeight="1">
      <c r="A25" s="25" t="s">
        <v>52</v>
      </c>
      <c r="B25" s="31" t="s">
        <v>1072</v>
      </c>
      <c r="C25" s="888" t="s">
        <v>943</v>
      </c>
      <c r="D25" s="32" t="s">
        <v>11</v>
      </c>
      <c r="E25" s="46">
        <v>30</v>
      </c>
      <c r="F25" s="805"/>
      <c r="G25" s="47">
        <f t="shared" si="1"/>
        <v>0</v>
      </c>
    </row>
    <row r="26" spans="1:7" ht="15.75">
      <c r="A26" s="25" t="s">
        <v>56</v>
      </c>
      <c r="B26" s="31" t="s">
        <v>1073</v>
      </c>
      <c r="C26" s="888" t="s">
        <v>943</v>
      </c>
      <c r="D26" s="32" t="s">
        <v>11</v>
      </c>
      <c r="E26" s="46">
        <v>32</v>
      </c>
      <c r="F26" s="805"/>
      <c r="G26" s="47">
        <f>+F26*E26</f>
        <v>0</v>
      </c>
    </row>
    <row r="27" spans="1:7" ht="15.75">
      <c r="A27" s="25" t="s">
        <v>350</v>
      </c>
      <c r="B27" s="31" t="s">
        <v>1074</v>
      </c>
      <c r="C27" s="888" t="s">
        <v>943</v>
      </c>
      <c r="D27" s="32" t="s">
        <v>11</v>
      </c>
      <c r="E27" s="46">
        <v>4</v>
      </c>
      <c r="F27" s="805"/>
      <c r="G27" s="47">
        <f t="shared" si="1"/>
        <v>0</v>
      </c>
    </row>
    <row r="28" spans="1:7" ht="31.5">
      <c r="A28" s="25" t="s">
        <v>552</v>
      </c>
      <c r="B28" s="31" t="s">
        <v>1075</v>
      </c>
      <c r="C28" s="888"/>
      <c r="D28" s="32" t="s">
        <v>11</v>
      </c>
      <c r="E28" s="46">
        <v>62</v>
      </c>
      <c r="F28" s="805"/>
      <c r="G28" s="47">
        <f t="shared" si="1"/>
        <v>0</v>
      </c>
    </row>
    <row r="29" spans="1:7" ht="31.5">
      <c r="A29" s="25" t="s">
        <v>697</v>
      </c>
      <c r="B29" s="31" t="s">
        <v>1076</v>
      </c>
      <c r="C29" s="888"/>
      <c r="D29" s="32" t="s">
        <v>11</v>
      </c>
      <c r="E29" s="46">
        <v>5</v>
      </c>
      <c r="F29" s="805"/>
      <c r="G29" s="47">
        <f>+F29*E29</f>
        <v>0</v>
      </c>
    </row>
    <row r="30" spans="1:7" ht="21" customHeight="1">
      <c r="A30" s="25" t="s">
        <v>702</v>
      </c>
      <c r="B30" s="31" t="s">
        <v>1077</v>
      </c>
      <c r="C30" s="888" t="s">
        <v>943</v>
      </c>
      <c r="D30" s="32" t="s">
        <v>11</v>
      </c>
      <c r="E30" s="46">
        <v>2</v>
      </c>
      <c r="F30" s="805"/>
      <c r="G30" s="47">
        <f>+F30*E30</f>
        <v>0</v>
      </c>
    </row>
    <row r="31" spans="1:7" ht="15.75">
      <c r="A31" s="25" t="s">
        <v>703</v>
      </c>
      <c r="B31" s="31" t="s">
        <v>1078</v>
      </c>
      <c r="C31" s="888" t="s">
        <v>943</v>
      </c>
      <c r="D31" s="32" t="s">
        <v>11</v>
      </c>
      <c r="E31" s="46">
        <v>1</v>
      </c>
      <c r="F31" s="805"/>
      <c r="G31" s="47">
        <f>+F31*E31</f>
        <v>0</v>
      </c>
    </row>
    <row r="32" spans="1:7" ht="15.75">
      <c r="A32" s="25" t="s">
        <v>952</v>
      </c>
      <c r="B32" s="31" t="s">
        <v>1079</v>
      </c>
      <c r="C32" s="888"/>
      <c r="D32" s="32" t="s">
        <v>11</v>
      </c>
      <c r="E32" s="46">
        <v>1</v>
      </c>
      <c r="F32" s="805"/>
      <c r="G32" s="47">
        <f>E32*F32</f>
        <v>0</v>
      </c>
    </row>
    <row r="33" spans="1:7" ht="15.75">
      <c r="A33" s="25" t="s">
        <v>955</v>
      </c>
      <c r="B33" s="31" t="s">
        <v>1092</v>
      </c>
      <c r="C33" s="888" t="s">
        <v>943</v>
      </c>
      <c r="D33" s="32" t="s">
        <v>898</v>
      </c>
      <c r="E33" s="46">
        <v>1</v>
      </c>
      <c r="F33" s="805"/>
      <c r="G33" s="47">
        <f>E33*F33</f>
        <v>0</v>
      </c>
    </row>
    <row r="34" spans="1:7" ht="15.75">
      <c r="A34" s="54"/>
      <c r="B34" s="905" t="s">
        <v>1085</v>
      </c>
      <c r="C34" s="55"/>
      <c r="D34" s="56"/>
      <c r="E34" s="57"/>
      <c r="F34" s="57"/>
      <c r="G34" s="59">
        <f>SUM(G23:G33)</f>
        <v>0</v>
      </c>
    </row>
    <row r="35" spans="1:7">
      <c r="A35" s="892"/>
      <c r="B35" s="892"/>
      <c r="C35" s="892"/>
      <c r="D35" s="892"/>
      <c r="E35" s="892"/>
      <c r="F35" s="907"/>
      <c r="G35" s="908"/>
    </row>
    <row r="36" spans="1:7" ht="15.75">
      <c r="A36" s="898"/>
      <c r="B36" s="900" t="s">
        <v>1089</v>
      </c>
      <c r="C36" s="1198" t="s">
        <v>1278</v>
      </c>
      <c r="D36" s="897"/>
      <c r="E36" s="898"/>
      <c r="F36" s="898"/>
      <c r="G36" s="899"/>
    </row>
    <row r="37" spans="1:7">
      <c r="A37" s="892"/>
      <c r="B37" s="892"/>
      <c r="C37" s="892"/>
      <c r="D37" s="892"/>
      <c r="E37" s="892"/>
      <c r="F37" s="892"/>
      <c r="G37" s="892"/>
    </row>
    <row r="38" spans="1:7" ht="30">
      <c r="A38" s="766" t="s">
        <v>891</v>
      </c>
      <c r="B38" s="767" t="s">
        <v>892</v>
      </c>
      <c r="C38" s="768" t="s">
        <v>894</v>
      </c>
      <c r="D38" s="768" t="s">
        <v>1</v>
      </c>
      <c r="E38" s="769" t="s">
        <v>893</v>
      </c>
      <c r="F38" s="769" t="s">
        <v>1232</v>
      </c>
      <c r="G38" s="769" t="s">
        <v>1233</v>
      </c>
    </row>
    <row r="39" spans="1:7">
      <c r="A39" s="1113"/>
      <c r="B39" s="1117"/>
      <c r="C39" s="1115"/>
      <c r="D39" s="1115"/>
      <c r="E39" s="1116"/>
      <c r="F39" s="1116"/>
      <c r="G39" s="1116"/>
    </row>
    <row r="40" spans="1:7" ht="15" customHeight="1">
      <c r="A40" s="25" t="s">
        <v>60</v>
      </c>
      <c r="B40" s="31" t="s">
        <v>1080</v>
      </c>
      <c r="C40" s="888" t="s">
        <v>944</v>
      </c>
      <c r="D40" s="32" t="s">
        <v>11</v>
      </c>
      <c r="E40" s="33">
        <v>2</v>
      </c>
      <c r="F40" s="805"/>
      <c r="G40" s="47">
        <f>E40*F40</f>
        <v>0</v>
      </c>
    </row>
    <row r="41" spans="1:7" ht="15.75">
      <c r="A41" s="25" t="s">
        <v>65</v>
      </c>
      <c r="B41" s="31" t="s">
        <v>988</v>
      </c>
      <c r="C41" s="888" t="s">
        <v>944</v>
      </c>
      <c r="D41" s="32" t="s">
        <v>898</v>
      </c>
      <c r="E41" s="33">
        <v>1</v>
      </c>
      <c r="F41" s="805"/>
      <c r="G41" s="47">
        <f>E41*F41</f>
        <v>0</v>
      </c>
    </row>
    <row r="42" spans="1:7" ht="15.75">
      <c r="A42" s="54"/>
      <c r="B42" s="905" t="s">
        <v>1086</v>
      </c>
      <c r="C42" s="55"/>
      <c r="D42" s="56"/>
      <c r="E42" s="57"/>
      <c r="F42" s="57"/>
      <c r="G42" s="59">
        <f>SUM(G40:G41)</f>
        <v>0</v>
      </c>
    </row>
    <row r="44" spans="1:7" ht="15.75">
      <c r="A44" s="898"/>
      <c r="B44" s="900" t="s">
        <v>1173</v>
      </c>
      <c r="C44" s="1198" t="s">
        <v>1278</v>
      </c>
      <c r="D44" s="897"/>
      <c r="E44" s="898"/>
      <c r="F44" s="898"/>
      <c r="G44" s="899"/>
    </row>
    <row r="45" spans="1:7" ht="15.75">
      <c r="A45" s="661"/>
      <c r="B45" s="661"/>
      <c r="C45" s="661"/>
      <c r="D45" s="661"/>
      <c r="E45" s="661"/>
      <c r="F45" s="661"/>
      <c r="G45" s="661"/>
    </row>
    <row r="46" spans="1:7" ht="31.5">
      <c r="A46" s="25" t="s">
        <v>60</v>
      </c>
      <c r="B46" s="31" t="s">
        <v>1179</v>
      </c>
      <c r="C46" s="888" t="s">
        <v>1277</v>
      </c>
      <c r="D46" s="32" t="s">
        <v>176</v>
      </c>
      <c r="E46" s="46">
        <v>420</v>
      </c>
      <c r="F46" s="805"/>
      <c r="G46" s="47">
        <f>+E46*F46</f>
        <v>0</v>
      </c>
    </row>
    <row r="47" spans="1:7" ht="47.25">
      <c r="A47" s="25" t="s">
        <v>63</v>
      </c>
      <c r="B47" s="31" t="s">
        <v>1180</v>
      </c>
      <c r="C47" s="888" t="s">
        <v>1277</v>
      </c>
      <c r="D47" s="32" t="s">
        <v>945</v>
      </c>
      <c r="E47" s="46">
        <v>20</v>
      </c>
      <c r="F47" s="805"/>
      <c r="G47" s="47">
        <f t="shared" ref="G47:G62" si="2">+E47*F47</f>
        <v>0</v>
      </c>
    </row>
    <row r="48" spans="1:7" ht="47.25">
      <c r="A48" s="25" t="s">
        <v>65</v>
      </c>
      <c r="B48" s="31" t="s">
        <v>946</v>
      </c>
      <c r="C48" s="888" t="s">
        <v>1277</v>
      </c>
      <c r="D48" s="32" t="s">
        <v>176</v>
      </c>
      <c r="E48" s="46">
        <v>30</v>
      </c>
      <c r="F48" s="805"/>
      <c r="G48" s="47">
        <f t="shared" si="2"/>
        <v>0</v>
      </c>
    </row>
    <row r="49" spans="1:7" ht="31.5">
      <c r="A49" s="25" t="s">
        <v>368</v>
      </c>
      <c r="B49" s="31" t="s">
        <v>947</v>
      </c>
      <c r="C49" s="888" t="s">
        <v>1277</v>
      </c>
      <c r="D49" s="32" t="s">
        <v>11</v>
      </c>
      <c r="E49" s="46">
        <v>5</v>
      </c>
      <c r="F49" s="805"/>
      <c r="G49" s="47">
        <f t="shared" si="2"/>
        <v>0</v>
      </c>
    </row>
    <row r="50" spans="1:7" ht="31.5">
      <c r="A50" s="25" t="s">
        <v>350</v>
      </c>
      <c r="B50" s="31" t="s">
        <v>948</v>
      </c>
      <c r="C50" s="888" t="s">
        <v>1277</v>
      </c>
      <c r="D50" s="32" t="s">
        <v>11</v>
      </c>
      <c r="E50" s="46">
        <v>4</v>
      </c>
      <c r="F50" s="805"/>
      <c r="G50" s="47">
        <f t="shared" si="2"/>
        <v>0</v>
      </c>
    </row>
    <row r="51" spans="1:7" ht="15.75">
      <c r="A51" s="25" t="s">
        <v>552</v>
      </c>
      <c r="B51" s="31" t="s">
        <v>1174</v>
      </c>
      <c r="C51" s="888" t="s">
        <v>1277</v>
      </c>
      <c r="D51" s="32" t="s">
        <v>176</v>
      </c>
      <c r="E51" s="46">
        <v>420</v>
      </c>
      <c r="F51" s="805"/>
      <c r="G51" s="47">
        <f>+E51*F51</f>
        <v>0</v>
      </c>
    </row>
    <row r="52" spans="1:7" ht="31.5">
      <c r="A52" s="25" t="s">
        <v>697</v>
      </c>
      <c r="B52" s="31" t="s">
        <v>949</v>
      </c>
      <c r="C52" s="888" t="s">
        <v>1277</v>
      </c>
      <c r="D52" s="32" t="s">
        <v>945</v>
      </c>
      <c r="E52" s="46">
        <v>120</v>
      </c>
      <c r="F52" s="805"/>
      <c r="G52" s="47">
        <f t="shared" si="2"/>
        <v>0</v>
      </c>
    </row>
    <row r="53" spans="1:7" ht="31.5">
      <c r="A53" s="25" t="s">
        <v>702</v>
      </c>
      <c r="B53" s="31" t="s">
        <v>1175</v>
      </c>
      <c r="C53" s="888" t="s">
        <v>1277</v>
      </c>
      <c r="D53" s="32" t="s">
        <v>176</v>
      </c>
      <c r="E53" s="46">
        <v>1200</v>
      </c>
      <c r="F53" s="805"/>
      <c r="G53" s="47">
        <f t="shared" si="2"/>
        <v>0</v>
      </c>
    </row>
    <row r="54" spans="1:7" ht="31.5">
      <c r="A54" s="25" t="s">
        <v>703</v>
      </c>
      <c r="B54" s="31" t="s">
        <v>951</v>
      </c>
      <c r="C54" s="888" t="s">
        <v>1277</v>
      </c>
      <c r="D54" s="32" t="s">
        <v>11</v>
      </c>
      <c r="E54" s="46">
        <v>10</v>
      </c>
      <c r="F54" s="805"/>
      <c r="G54" s="47">
        <f t="shared" si="2"/>
        <v>0</v>
      </c>
    </row>
    <row r="55" spans="1:7" ht="94.5">
      <c r="A55" s="25" t="s">
        <v>952</v>
      </c>
      <c r="B55" s="31" t="s">
        <v>953</v>
      </c>
      <c r="C55" s="888" t="s">
        <v>1277</v>
      </c>
      <c r="D55" s="32"/>
      <c r="E55" s="46"/>
      <c r="F55" s="32"/>
      <c r="G55" s="47"/>
    </row>
    <row r="56" spans="1:7" ht="15.75">
      <c r="A56" s="25"/>
      <c r="B56" s="31" t="s">
        <v>1030</v>
      </c>
      <c r="C56" s="888"/>
      <c r="D56" s="32" t="s">
        <v>954</v>
      </c>
      <c r="E56" s="46">
        <v>1</v>
      </c>
      <c r="F56" s="805"/>
      <c r="G56" s="47">
        <f t="shared" si="2"/>
        <v>0</v>
      </c>
    </row>
    <row r="57" spans="1:7" ht="15.75">
      <c r="A57" s="25"/>
      <c r="B57" s="31" t="s">
        <v>1031</v>
      </c>
      <c r="C57" s="888"/>
      <c r="D57" s="32" t="s">
        <v>954</v>
      </c>
      <c r="E57" s="46">
        <v>1</v>
      </c>
      <c r="F57" s="805"/>
      <c r="G57" s="47">
        <f t="shared" si="2"/>
        <v>0</v>
      </c>
    </row>
    <row r="58" spans="1:7" ht="47.25">
      <c r="A58" s="25" t="s">
        <v>955</v>
      </c>
      <c r="B58" s="31" t="s">
        <v>1176</v>
      </c>
      <c r="C58" s="888" t="s">
        <v>1277</v>
      </c>
      <c r="D58" s="32" t="s">
        <v>176</v>
      </c>
      <c r="E58" s="46">
        <v>40</v>
      </c>
      <c r="F58" s="805"/>
      <c r="G58" s="47">
        <f t="shared" si="2"/>
        <v>0</v>
      </c>
    </row>
    <row r="59" spans="1:7" ht="94.5">
      <c r="A59" s="25" t="s">
        <v>957</v>
      </c>
      <c r="B59" s="31" t="s">
        <v>958</v>
      </c>
      <c r="C59" s="888" t="s">
        <v>1277</v>
      </c>
      <c r="D59" s="32" t="s">
        <v>11</v>
      </c>
      <c r="E59" s="46">
        <v>2</v>
      </c>
      <c r="F59" s="805"/>
      <c r="G59" s="47">
        <f t="shared" si="2"/>
        <v>0</v>
      </c>
    </row>
    <row r="60" spans="1:7" ht="47.25">
      <c r="A60" s="25" t="s">
        <v>959</v>
      </c>
      <c r="B60" s="31" t="s">
        <v>960</v>
      </c>
      <c r="C60" s="888" t="s">
        <v>1277</v>
      </c>
      <c r="D60" s="32" t="s">
        <v>176</v>
      </c>
      <c r="E60" s="46">
        <v>29</v>
      </c>
      <c r="F60" s="805"/>
      <c r="G60" s="47">
        <f t="shared" si="2"/>
        <v>0</v>
      </c>
    </row>
    <row r="61" spans="1:7" ht="63">
      <c r="A61" s="25" t="s">
        <v>961</v>
      </c>
      <c r="B61" s="31" t="s">
        <v>962</v>
      </c>
      <c r="C61" s="888" t="s">
        <v>1277</v>
      </c>
      <c r="D61" s="32" t="s">
        <v>11</v>
      </c>
      <c r="E61" s="46">
        <v>20</v>
      </c>
      <c r="F61" s="805"/>
      <c r="G61" s="47">
        <f t="shared" si="2"/>
        <v>0</v>
      </c>
    </row>
    <row r="62" spans="1:7" ht="15.75" customHeight="1">
      <c r="A62" s="25" t="s">
        <v>963</v>
      </c>
      <c r="B62" s="31" t="s">
        <v>1177</v>
      </c>
      <c r="C62" s="888" t="s">
        <v>1277</v>
      </c>
      <c r="D62" s="32" t="s">
        <v>176</v>
      </c>
      <c r="E62" s="46">
        <v>420</v>
      </c>
      <c r="F62" s="805"/>
      <c r="G62" s="47">
        <f t="shared" si="2"/>
        <v>0</v>
      </c>
    </row>
    <row r="63" spans="1:7" ht="63">
      <c r="A63" s="25" t="s">
        <v>964</v>
      </c>
      <c r="B63" s="31" t="s">
        <v>965</v>
      </c>
      <c r="C63" s="888" t="s">
        <v>1277</v>
      </c>
      <c r="D63" s="32" t="s">
        <v>898</v>
      </c>
      <c r="E63" s="46">
        <v>1</v>
      </c>
      <c r="F63" s="805"/>
      <c r="G63" s="47">
        <f>E63*F63</f>
        <v>0</v>
      </c>
    </row>
    <row r="64" spans="1:7" ht="15.75">
      <c r="A64" s="54"/>
      <c r="B64" s="905" t="s">
        <v>1178</v>
      </c>
      <c r="C64" s="55"/>
      <c r="D64" s="56"/>
      <c r="E64" s="57"/>
      <c r="F64" s="57"/>
      <c r="G64" s="59">
        <f>SUM(G46:G63)</f>
        <v>0</v>
      </c>
    </row>
    <row r="65" spans="1:7" ht="15.75">
      <c r="A65" s="661"/>
      <c r="B65" s="661"/>
      <c r="C65" s="661"/>
      <c r="D65" s="661"/>
      <c r="E65" s="661"/>
      <c r="F65" s="661"/>
      <c r="G65" s="661"/>
    </row>
    <row r="66" spans="1:7" ht="15.75">
      <c r="A66" s="661"/>
      <c r="B66" s="661"/>
      <c r="C66" s="661"/>
      <c r="D66" s="661"/>
      <c r="E66" s="661"/>
      <c r="F66" s="661"/>
      <c r="G66" s="661"/>
    </row>
    <row r="67" spans="1:7" ht="15.75">
      <c r="B67" s="25"/>
    </row>
    <row r="68" spans="1:7" ht="15.75">
      <c r="A68" s="1132"/>
      <c r="B68" s="1531" t="s">
        <v>1090</v>
      </c>
      <c r="C68" s="1531"/>
      <c r="D68" s="1540"/>
      <c r="E68" s="1540"/>
      <c r="F68" s="1540"/>
      <c r="G68" s="1540"/>
    </row>
    <row r="69" spans="1:7" ht="15.75">
      <c r="A69" s="270" t="s">
        <v>247</v>
      </c>
      <c r="B69" s="76" t="s">
        <v>1081</v>
      </c>
      <c r="C69" s="661"/>
      <c r="D69" s="661"/>
      <c r="E69" s="661"/>
      <c r="F69" s="661"/>
      <c r="G69" s="294">
        <f>G17</f>
        <v>0</v>
      </c>
    </row>
    <row r="70" spans="1:7" ht="15.75" customHeight="1">
      <c r="A70" s="270" t="s">
        <v>249</v>
      </c>
      <c r="B70" s="76" t="s">
        <v>1082</v>
      </c>
      <c r="C70" s="661"/>
      <c r="D70" s="661"/>
      <c r="E70" s="661"/>
      <c r="F70" s="661"/>
      <c r="G70" s="294">
        <f>G34</f>
        <v>0</v>
      </c>
    </row>
    <row r="71" spans="1:7" ht="15.75">
      <c r="A71" s="270" t="s">
        <v>251</v>
      </c>
      <c r="B71" s="76" t="s">
        <v>1083</v>
      </c>
      <c r="C71" s="661"/>
      <c r="D71" s="661"/>
      <c r="E71" s="661"/>
      <c r="F71" s="661"/>
      <c r="G71" s="294">
        <f>G42</f>
        <v>0</v>
      </c>
    </row>
    <row r="72" spans="1:7" ht="15.75">
      <c r="A72" s="270" t="s">
        <v>255</v>
      </c>
      <c r="B72" s="76" t="s">
        <v>1027</v>
      </c>
      <c r="C72" s="661"/>
      <c r="D72" s="661"/>
      <c r="E72" s="661"/>
      <c r="F72" s="661"/>
      <c r="G72" s="294">
        <f>G64</f>
        <v>0</v>
      </c>
    </row>
    <row r="73" spans="1:7" ht="15.75">
      <c r="A73" s="1127"/>
      <c r="B73" s="1133" t="s">
        <v>1091</v>
      </c>
      <c r="C73" s="1134"/>
      <c r="D73" s="1130"/>
      <c r="E73" s="1135"/>
      <c r="F73" s="1131"/>
      <c r="G73" s="1136">
        <f>SUM(G69:G72)</f>
        <v>0</v>
      </c>
    </row>
  </sheetData>
  <sheetProtection sheet="1" objects="1" scenarios="1" formatRows="0" selectLockedCells="1"/>
  <mergeCells count="1">
    <mergeCell ref="B68:G68"/>
  </mergeCells>
  <pageMargins left="0.78749999999999998" right="0.39374999999999999" top="0.73406249999999995" bottom="0.63124999999999998" header="0.39374999999999999" footer="0.39374999999999999"/>
  <pageSetup paperSize="9" scale="75" orientation="portrait" r:id="rId1"/>
  <headerFooter alignWithMargins="0">
    <oddHeader>&amp;L&amp;"Times New Roman,Standard"Construction of BCP Kotroman&amp;R&amp;"Times New Roman,Standard"&amp;10Bill of Quantities</oddHeader>
    <oddFooter>&amp;R&amp;"Times New Roman,Regular"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27</vt:i4>
      </vt:variant>
    </vt:vector>
  </HeadingPairs>
  <TitlesOfParts>
    <vt:vector size="38" baseType="lpstr">
      <vt:lpstr>BoQs</vt:lpstr>
      <vt:lpstr>SUMMARY</vt:lpstr>
      <vt:lpstr>I - Book 1 &amp; 2.1 Arch.</vt:lpstr>
      <vt:lpstr>II - Book 2.2 Traff.</vt:lpstr>
      <vt:lpstr>III - Book 3.1 Water sup.</vt:lpstr>
      <vt:lpstr>IV - Book 3.2 Sewerage</vt:lpstr>
      <vt:lpstr>V - Book 3.3 Atmo. sewe.</vt:lpstr>
      <vt:lpstr>VI - Book 4.1 Elec.</vt:lpstr>
      <vt:lpstr>VII - Book 5.1 &amp; 5.2 Telec.</vt:lpstr>
      <vt:lpstr>VIII - Book 6 Mech.</vt:lpstr>
      <vt:lpstr>IX - Book 8 Traffic</vt:lpstr>
      <vt:lpstr>'I - Book 1 &amp; 2.1 Arch.'!Druckbereich</vt:lpstr>
      <vt:lpstr>'II - Book 2.2 Traff.'!Druckbereich</vt:lpstr>
      <vt:lpstr>'III - Book 3.1 Water sup.'!Druckbereich</vt:lpstr>
      <vt:lpstr>'IV - Book 3.2 Sewerage'!Druckbereich</vt:lpstr>
      <vt:lpstr>'IX - Book 8 Traffic'!Druckbereich</vt:lpstr>
      <vt:lpstr>'V - Book 3.3 Atmo. sewe.'!Druckbereich</vt:lpstr>
      <vt:lpstr>'VI - Book 4.1 Elec.'!Druckbereich</vt:lpstr>
      <vt:lpstr>'VII - Book 5.1 &amp; 5.2 Telec.'!Druckbereich</vt:lpstr>
      <vt:lpstr>'VIII - Book 6 Mech.'!Druckbereich</vt:lpstr>
      <vt:lpstr>'I - Book 1 &amp; 2.1 Arch.'!Drucktitel</vt:lpstr>
      <vt:lpstr>'III - Book 3.1 Water sup.'!Drucktitel</vt:lpstr>
      <vt:lpstr>'IV - Book 3.2 Sewerage'!Drucktitel</vt:lpstr>
      <vt:lpstr>'V - Book 3.3 Atmo. sewe.'!Drucktitel</vt:lpstr>
      <vt:lpstr>'VI - Book 4.1 Elec.'!Drucktitel</vt:lpstr>
      <vt:lpstr>'III - Book 3.1 Water sup.'!Excel_BuiltIn_Print_Area</vt:lpstr>
      <vt:lpstr>'IV - Book 3.2 Sewerage'!Excel_BuiltIn_Print_Area</vt:lpstr>
      <vt:lpstr>'III - Book 3.1 Water sup.'!Excel_BuiltIn_Print_Area_1_1</vt:lpstr>
      <vt:lpstr>'IV - Book 3.2 Sewerage'!Excel_BuiltIn_Print_Area_1_1</vt:lpstr>
      <vt:lpstr>Excel_BuiltIn_Print_Area_1_1</vt:lpstr>
      <vt:lpstr>'III - Book 3.1 Water sup.'!Excel_BuiltIn_Print_Area_1_1_1</vt:lpstr>
      <vt:lpstr>'IV - Book 3.2 Sewerage'!Excel_BuiltIn_Print_Area_1_1_1</vt:lpstr>
      <vt:lpstr>Excel_BuiltIn_Print_Area_1_1_1</vt:lpstr>
      <vt:lpstr>'III - Book 3.1 Water sup.'!Excel_BuiltIn_Print_Area_1_1_1_1</vt:lpstr>
      <vt:lpstr>'IV - Book 3.2 Sewerage'!Excel_BuiltIn_Print_Area_1_1_1_1</vt:lpstr>
      <vt:lpstr>Excel_BuiltIn_Print_Area_1_1_1_1</vt:lpstr>
      <vt:lpstr>Excel_BuiltIn_Print_Area_1_1_1_1_1</vt:lpstr>
      <vt:lpstr>Excel_BuiltIn_Print_Area_1_1_1_1_1_1</vt:lpstr>
    </vt:vector>
  </TitlesOfParts>
  <Company>iC - group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iC - JOLDIC Dzenana</dc:creator>
  <cp:lastModifiedBy>iC - WOHLRAB Andreas</cp:lastModifiedBy>
  <cp:lastPrinted>2018-07-30T08:38:47Z</cp:lastPrinted>
  <dcterms:created xsi:type="dcterms:W3CDTF">2017-12-05T10:45:41Z</dcterms:created>
  <dcterms:modified xsi:type="dcterms:W3CDTF">2018-09-18T13:49:05Z</dcterms:modified>
</cp:coreProperties>
</file>